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75" yWindow="12420" windowWidth="13860" windowHeight="10035" tabRatio="722" firstSheet="8" activeTab="14"/>
  </bookViews>
  <sheets>
    <sheet name="auxjard" sheetId="1" r:id="rId1"/>
    <sheet name="cabotur" sheetId="2" r:id="rId2"/>
    <sheet name="coordadm" sheetId="3" r:id="rId3"/>
    <sheet name="coordope" sheetId="4" r:id="rId4"/>
    <sheet name="jardineiro" sheetId="5" r:id="rId5"/>
    <sheet name="lavadorveic" sheetId="6" r:id="rId6"/>
    <sheet name="limpavidro" sheetId="7" r:id="rId7"/>
    <sheet name="servente20" sheetId="8" r:id="rId8"/>
    <sheet name="servente40" sheetId="9" r:id="rId9"/>
    <sheet name="varredor" sheetId="10" r:id="rId10"/>
    <sheet name="servente20adic" sheetId="11" r:id="rId11"/>
    <sheet name="materanonaoele" sheetId="15" r:id="rId12"/>
    <sheet name="materanoele" sheetId="14" r:id="rId13"/>
    <sheet name="horaextra" sheetId="12" r:id="rId14"/>
    <sheet name="total" sheetId="13" r:id="rId15"/>
  </sheets>
  <definedNames>
    <definedName name="_xlnm.Print_Area" localSheetId="12">materanoele!$A$1:$G$58</definedName>
    <definedName name="_xlnm.Print_Area" localSheetId="11">materanonaoele!$A$1:$G$58</definedName>
    <definedName name="_xlnm.Print_Titles" localSheetId="13">horaextra!$1:$12</definedName>
    <definedName name="_xlnm.Print_Titles" localSheetId="12">materanoele!$1:$2</definedName>
    <definedName name="_xlnm.Print_Titles" localSheetId="11">materanonaoele!$1:$2</definedName>
  </definedNames>
  <calcPr calcId="145621"/>
</workbook>
</file>

<file path=xl/calcChain.xml><?xml version="1.0" encoding="utf-8"?>
<calcChain xmlns="http://schemas.openxmlformats.org/spreadsheetml/2006/main">
  <c r="D130" i="1" l="1"/>
  <c r="D130" i="5"/>
  <c r="D132" i="5" s="1"/>
  <c r="D132" i="1"/>
  <c r="D132" i="2"/>
  <c r="D132" i="3"/>
  <c r="D132" i="4"/>
  <c r="D132" i="6"/>
  <c r="D132" i="7"/>
  <c r="D132" i="8"/>
  <c r="D132" i="9"/>
  <c r="D132" i="10"/>
  <c r="G44" i="15" l="1"/>
  <c r="G44" i="14"/>
  <c r="E44" i="14" l="1"/>
  <c r="E44" i="15"/>
  <c r="E41" i="14" l="1"/>
  <c r="E40" i="14"/>
  <c r="G23" i="15" l="1"/>
  <c r="G22" i="15"/>
  <c r="G21" i="15"/>
  <c r="G20" i="15"/>
  <c r="G19" i="15"/>
  <c r="G18" i="15"/>
  <c r="G17" i="15"/>
  <c r="G16" i="15"/>
  <c r="G15" i="15"/>
  <c r="G14" i="15"/>
  <c r="G13" i="15"/>
  <c r="G12" i="15"/>
  <c r="G11" i="15"/>
  <c r="G10" i="15"/>
  <c r="G9" i="15"/>
  <c r="G8" i="15"/>
  <c r="G7" i="15"/>
  <c r="G6" i="15"/>
  <c r="G5" i="15"/>
  <c r="G4" i="15"/>
  <c r="G3" i="15"/>
  <c r="G51" i="14"/>
  <c r="E51" i="14"/>
  <c r="G51" i="15" s="1"/>
  <c r="G50" i="14"/>
  <c r="E50" i="14"/>
  <c r="G50" i="15" s="1"/>
  <c r="G49" i="14"/>
  <c r="E49" i="14"/>
  <c r="G49" i="15" s="1"/>
  <c r="G48" i="14"/>
  <c r="E48" i="14"/>
  <c r="G48" i="15" s="1"/>
  <c r="G47" i="14"/>
  <c r="E47" i="14"/>
  <c r="G47" i="15" s="1"/>
  <c r="G46" i="14"/>
  <c r="E46" i="14"/>
  <c r="G46" i="15" s="1"/>
  <c r="G45" i="14"/>
  <c r="E45" i="14"/>
  <c r="G45" i="15" s="1"/>
  <c r="G43" i="14"/>
  <c r="E43" i="14"/>
  <c r="G43" i="15" s="1"/>
  <c r="G42" i="14"/>
  <c r="E42" i="14"/>
  <c r="G42" i="15" s="1"/>
  <c r="G41" i="14"/>
  <c r="G41" i="15"/>
  <c r="G40" i="14"/>
  <c r="G40" i="15"/>
  <c r="G39" i="14"/>
  <c r="E39" i="14"/>
  <c r="G39" i="15" s="1"/>
  <c r="G38" i="14"/>
  <c r="E38" i="14"/>
  <c r="G38" i="15" s="1"/>
  <c r="G37" i="14"/>
  <c r="E37" i="14"/>
  <c r="G37" i="15" s="1"/>
  <c r="G36" i="14"/>
  <c r="E36" i="14"/>
  <c r="G36" i="15" s="1"/>
  <c r="G35" i="14"/>
  <c r="E35" i="14"/>
  <c r="G35" i="15" s="1"/>
  <c r="G34" i="14"/>
  <c r="E34" i="14"/>
  <c r="G34" i="15" s="1"/>
  <c r="G33" i="14"/>
  <c r="E33" i="14"/>
  <c r="G33" i="15" s="1"/>
  <c r="G32" i="14"/>
  <c r="E32" i="14"/>
  <c r="G32" i="15" s="1"/>
  <c r="G31" i="14"/>
  <c r="E31" i="14"/>
  <c r="G31" i="15" s="1"/>
  <c r="G30" i="14"/>
  <c r="E30" i="14"/>
  <c r="G30" i="15" s="1"/>
  <c r="G29" i="14"/>
  <c r="E29" i="14"/>
  <c r="G29" i="15" s="1"/>
  <c r="G28" i="14"/>
  <c r="E28" i="14"/>
  <c r="G28" i="15" s="1"/>
  <c r="G27" i="14"/>
  <c r="E27" i="14"/>
  <c r="G27" i="15" s="1"/>
  <c r="G26" i="14"/>
  <c r="E26" i="14"/>
  <c r="G26" i="15" s="1"/>
  <c r="G25" i="14"/>
  <c r="E25" i="14"/>
  <c r="G25" i="15" s="1"/>
  <c r="G24" i="14"/>
  <c r="E24" i="14"/>
  <c r="G24" i="15" s="1"/>
  <c r="G23" i="14"/>
  <c r="G22" i="14"/>
  <c r="G21" i="14"/>
  <c r="G20" i="14"/>
  <c r="G19" i="14"/>
  <c r="G18" i="14"/>
  <c r="G17" i="14"/>
  <c r="G16" i="14"/>
  <c r="G15" i="14"/>
  <c r="G14" i="14"/>
  <c r="G13" i="14"/>
  <c r="G12" i="14"/>
  <c r="G11" i="14"/>
  <c r="G10" i="14"/>
  <c r="G9" i="14"/>
  <c r="G8" i="14"/>
  <c r="G7" i="14"/>
  <c r="G6" i="14"/>
  <c r="G5" i="14"/>
  <c r="G4" i="14"/>
  <c r="G3" i="14"/>
  <c r="F53" i="14" l="1"/>
  <c r="F53" i="15"/>
  <c r="D19" i="13" l="1"/>
  <c r="B19" i="13"/>
  <c r="D14" i="13" l="1"/>
  <c r="B14" i="13"/>
  <c r="B12" i="13"/>
  <c r="D13" i="13"/>
  <c r="B13" i="13"/>
  <c r="D12" i="13"/>
  <c r="D11" i="13"/>
  <c r="B11" i="13"/>
  <c r="D10" i="13"/>
  <c r="B10" i="13"/>
  <c r="D9" i="13"/>
  <c r="B9" i="13"/>
  <c r="D8" i="13"/>
  <c r="B8" i="13"/>
  <c r="D7" i="13"/>
  <c r="B7" i="13"/>
  <c r="D6" i="13"/>
  <c r="B6" i="13"/>
  <c r="D5" i="13"/>
  <c r="B5" i="13"/>
  <c r="T30" i="12" l="1"/>
  <c r="T39" i="12" s="1"/>
  <c r="R30" i="12"/>
  <c r="R39" i="12" s="1"/>
  <c r="P30" i="12"/>
  <c r="P39" i="12" s="1"/>
  <c r="N30" i="12"/>
  <c r="N39" i="12" s="1"/>
  <c r="L30" i="12"/>
  <c r="L39" i="12" s="1"/>
  <c r="J30" i="12"/>
  <c r="J39" i="12" s="1"/>
  <c r="H30" i="12"/>
  <c r="H39" i="12" s="1"/>
  <c r="F30" i="12"/>
  <c r="F47" i="12" s="1"/>
  <c r="D30" i="12"/>
  <c r="D39" i="12" s="1"/>
  <c r="B30" i="12"/>
  <c r="B39" i="12" s="1"/>
  <c r="C33" i="12"/>
  <c r="E33" i="12"/>
  <c r="G33" i="12"/>
  <c r="I33" i="12"/>
  <c r="K33" i="12"/>
  <c r="M33" i="12"/>
  <c r="O33" i="12"/>
  <c r="Q33" i="12"/>
  <c r="S33" i="12"/>
  <c r="U33" i="12"/>
  <c r="C41" i="12"/>
  <c r="E41" i="12"/>
  <c r="G41" i="12"/>
  <c r="I41" i="12"/>
  <c r="K41" i="12"/>
  <c r="M41" i="12"/>
  <c r="O41" i="12"/>
  <c r="Q41" i="12"/>
  <c r="S41" i="12"/>
  <c r="U41" i="12"/>
  <c r="T14" i="12"/>
  <c r="R14" i="12"/>
  <c r="R49" i="12" s="1"/>
  <c r="P14" i="12"/>
  <c r="P26" i="12" s="1"/>
  <c r="N14" i="12"/>
  <c r="N26" i="12" s="1"/>
  <c r="L14" i="12"/>
  <c r="J14" i="12"/>
  <c r="J26" i="12" s="1"/>
  <c r="H14" i="12"/>
  <c r="H26" i="12" s="1"/>
  <c r="F14" i="12"/>
  <c r="F26" i="12" s="1"/>
  <c r="D14" i="12"/>
  <c r="D26" i="12" s="1"/>
  <c r="B14" i="12"/>
  <c r="B49" i="12" s="1"/>
  <c r="H47" i="12" l="1"/>
  <c r="B47" i="12"/>
  <c r="L47" i="12"/>
  <c r="N47" i="12"/>
  <c r="D47" i="12"/>
  <c r="P47" i="12"/>
  <c r="R47" i="12"/>
  <c r="J47" i="12"/>
  <c r="T47" i="12"/>
  <c r="F39" i="12"/>
  <c r="N49" i="12"/>
  <c r="F49" i="12"/>
  <c r="L26" i="12"/>
  <c r="T26" i="12"/>
  <c r="R26" i="12"/>
  <c r="B26" i="12"/>
  <c r="T49" i="12"/>
  <c r="P49" i="12"/>
  <c r="D49" i="12"/>
  <c r="H49" i="12"/>
  <c r="J49" i="12"/>
  <c r="L49" i="12"/>
  <c r="C104" i="11" l="1"/>
  <c r="C103" i="11"/>
  <c r="C102" i="11"/>
  <c r="C100" i="11"/>
  <c r="C90" i="11"/>
  <c r="C88" i="11"/>
  <c r="C87" i="11"/>
  <c r="C85" i="11"/>
  <c r="C139" i="11"/>
  <c r="C146" i="11" s="1"/>
  <c r="D131" i="11"/>
  <c r="D156" i="11" s="1"/>
  <c r="C101" i="11"/>
  <c r="D66" i="11"/>
  <c r="D65" i="11"/>
  <c r="D70" i="11" s="1"/>
  <c r="D78" i="11" s="1"/>
  <c r="C59" i="11"/>
  <c r="C89" i="11" s="1"/>
  <c r="C44" i="11"/>
  <c r="C45" i="11" s="1"/>
  <c r="C43" i="11"/>
  <c r="D30" i="11"/>
  <c r="D35" i="11" s="1"/>
  <c r="C140" i="10"/>
  <c r="C147" i="10" s="1"/>
  <c r="T21" i="12" s="1"/>
  <c r="D157" i="10"/>
  <c r="C104" i="10"/>
  <c r="C103" i="10"/>
  <c r="C102" i="10"/>
  <c r="C101" i="10"/>
  <c r="C100" i="10"/>
  <c r="C90" i="10"/>
  <c r="C88" i="10"/>
  <c r="C87" i="10"/>
  <c r="C85" i="10"/>
  <c r="D66" i="10"/>
  <c r="D65" i="10"/>
  <c r="D70" i="10" s="1"/>
  <c r="D78" i="10" s="1"/>
  <c r="C59" i="10"/>
  <c r="C44" i="10"/>
  <c r="C43" i="10"/>
  <c r="D35" i="10"/>
  <c r="U15" i="12" s="1"/>
  <c r="U16" i="12" s="1"/>
  <c r="D30" i="9"/>
  <c r="D157" i="9"/>
  <c r="C140" i="9"/>
  <c r="C147" i="9" s="1"/>
  <c r="R21" i="12" s="1"/>
  <c r="C104" i="9"/>
  <c r="C103" i="9"/>
  <c r="C102" i="9"/>
  <c r="C101" i="9"/>
  <c r="C100" i="9"/>
  <c r="C90" i="9"/>
  <c r="C88" i="9"/>
  <c r="C87" i="9"/>
  <c r="C85" i="9"/>
  <c r="D66" i="9"/>
  <c r="D65" i="9"/>
  <c r="D70" i="9" s="1"/>
  <c r="D78" i="9" s="1"/>
  <c r="C59" i="9"/>
  <c r="C44" i="9"/>
  <c r="C43" i="9"/>
  <c r="C45" i="9" s="1"/>
  <c r="R17" i="12" s="1"/>
  <c r="D35" i="9"/>
  <c r="S15" i="12" s="1"/>
  <c r="S16" i="12" s="1"/>
  <c r="D30" i="8"/>
  <c r="D35" i="8" s="1"/>
  <c r="Q15" i="12" s="1"/>
  <c r="Q16" i="12" s="1"/>
  <c r="C140" i="8"/>
  <c r="C147" i="8" s="1"/>
  <c r="D157" i="8"/>
  <c r="C104" i="8"/>
  <c r="C103" i="8"/>
  <c r="C102" i="8"/>
  <c r="C101" i="8"/>
  <c r="C100" i="8"/>
  <c r="C90" i="8"/>
  <c r="C88" i="8"/>
  <c r="C87" i="8"/>
  <c r="C85" i="8"/>
  <c r="D66" i="8"/>
  <c r="D65" i="8"/>
  <c r="C59" i="8"/>
  <c r="P19" i="12" s="1"/>
  <c r="C44" i="8"/>
  <c r="C43" i="8"/>
  <c r="C45" i="8" s="1"/>
  <c r="P17" i="12" s="1"/>
  <c r="C140" i="7"/>
  <c r="C147" i="7" s="1"/>
  <c r="N21" i="12" s="1"/>
  <c r="D157" i="7"/>
  <c r="C104" i="7"/>
  <c r="C103" i="7"/>
  <c r="C102" i="7"/>
  <c r="C101" i="7"/>
  <c r="C100" i="7"/>
  <c r="C90" i="7"/>
  <c r="C88" i="7"/>
  <c r="C87" i="7"/>
  <c r="C85" i="7"/>
  <c r="D66" i="7"/>
  <c r="D65" i="7"/>
  <c r="D70" i="7" s="1"/>
  <c r="D78" i="7" s="1"/>
  <c r="C59" i="7"/>
  <c r="C44" i="7"/>
  <c r="D44" i="7" s="1"/>
  <c r="C43" i="7"/>
  <c r="D35" i="7"/>
  <c r="O15" i="12" s="1"/>
  <c r="O16" i="12" s="1"/>
  <c r="C147" i="6"/>
  <c r="L21" i="12" s="1"/>
  <c r="C140" i="6"/>
  <c r="D157" i="6"/>
  <c r="C104" i="6"/>
  <c r="C103" i="6"/>
  <c r="C102" i="6"/>
  <c r="C101" i="6"/>
  <c r="C100" i="6"/>
  <c r="C90" i="6"/>
  <c r="C88" i="6"/>
  <c r="C87" i="6"/>
  <c r="C85" i="6"/>
  <c r="D66" i="6"/>
  <c r="D65" i="6"/>
  <c r="D70" i="6" s="1"/>
  <c r="D78" i="6" s="1"/>
  <c r="C59" i="6"/>
  <c r="C44" i="6"/>
  <c r="C43" i="6"/>
  <c r="C45" i="6" s="1"/>
  <c r="L17" i="12" s="1"/>
  <c r="D35" i="6"/>
  <c r="C140" i="5"/>
  <c r="C147" i="5" s="1"/>
  <c r="J21" i="12" s="1"/>
  <c r="D157" i="5"/>
  <c r="C104" i="5"/>
  <c r="C103" i="5"/>
  <c r="C102" i="5"/>
  <c r="C101" i="5"/>
  <c r="C100" i="5"/>
  <c r="C90" i="5"/>
  <c r="C88" i="5"/>
  <c r="C87" i="5"/>
  <c r="C85" i="5"/>
  <c r="D66" i="5"/>
  <c r="D65" i="5"/>
  <c r="C59" i="5"/>
  <c r="C44" i="5"/>
  <c r="C43" i="5"/>
  <c r="C45" i="5" s="1"/>
  <c r="J17" i="12" s="1"/>
  <c r="D35" i="5"/>
  <c r="C140" i="4"/>
  <c r="C147" i="4" s="1"/>
  <c r="H21" i="12" s="1"/>
  <c r="D157" i="4"/>
  <c r="C104" i="4"/>
  <c r="C103" i="4"/>
  <c r="C102" i="4"/>
  <c r="C101" i="4"/>
  <c r="C100" i="4"/>
  <c r="C90" i="4"/>
  <c r="C88" i="4"/>
  <c r="C87" i="4"/>
  <c r="C85" i="4"/>
  <c r="D66" i="4"/>
  <c r="D65" i="4"/>
  <c r="C59" i="4"/>
  <c r="C44" i="4"/>
  <c r="C43" i="4"/>
  <c r="D35" i="4"/>
  <c r="I15" i="12" s="1"/>
  <c r="I16" i="12" s="1"/>
  <c r="C140" i="3"/>
  <c r="C147" i="3" s="1"/>
  <c r="F21" i="12" s="1"/>
  <c r="D157" i="3"/>
  <c r="C104" i="3"/>
  <c r="C103" i="3"/>
  <c r="C102" i="3"/>
  <c r="C101" i="3"/>
  <c r="C100" i="3"/>
  <c r="C90" i="3"/>
  <c r="C88" i="3"/>
  <c r="C87" i="3"/>
  <c r="C85" i="3"/>
  <c r="D66" i="3"/>
  <c r="D65" i="3"/>
  <c r="D70" i="3" s="1"/>
  <c r="D78" i="3" s="1"/>
  <c r="C59" i="3"/>
  <c r="C44" i="3"/>
  <c r="C43" i="3"/>
  <c r="C45" i="3" s="1"/>
  <c r="F17" i="12" s="1"/>
  <c r="D35" i="3"/>
  <c r="G15" i="12" s="1"/>
  <c r="G16" i="12" s="1"/>
  <c r="D30" i="2"/>
  <c r="C140" i="2"/>
  <c r="C147" i="2" s="1"/>
  <c r="D21" i="12" s="1"/>
  <c r="D157" i="2"/>
  <c r="C104" i="2"/>
  <c r="C103" i="2"/>
  <c r="C102" i="2"/>
  <c r="C101" i="2"/>
  <c r="C100" i="2"/>
  <c r="C90" i="2"/>
  <c r="C88" i="2"/>
  <c r="C87" i="2"/>
  <c r="C85" i="2"/>
  <c r="D66" i="2"/>
  <c r="D65" i="2"/>
  <c r="C59" i="2"/>
  <c r="C44" i="2"/>
  <c r="C43" i="2"/>
  <c r="C45" i="2" s="1"/>
  <c r="D17" i="12" s="1"/>
  <c r="D35" i="2"/>
  <c r="E15" i="12" s="1"/>
  <c r="E16" i="12" s="1"/>
  <c r="D66" i="1"/>
  <c r="D65" i="1"/>
  <c r="T34" i="12" l="1"/>
  <c r="U34" i="12" s="1"/>
  <c r="U35" i="12" s="1"/>
  <c r="T42" i="12"/>
  <c r="U42" i="12" s="1"/>
  <c r="U43" i="12" s="1"/>
  <c r="D44" i="11"/>
  <c r="D90" i="11"/>
  <c r="D43" i="11"/>
  <c r="F34" i="12"/>
  <c r="G34" i="12" s="1"/>
  <c r="G35" i="12" s="1"/>
  <c r="F42" i="12"/>
  <c r="G42" i="12" s="1"/>
  <c r="G43" i="12" s="1"/>
  <c r="E56" i="14"/>
  <c r="F56" i="14" s="1"/>
  <c r="F58" i="14" s="1"/>
  <c r="F25" i="13" s="1"/>
  <c r="E56" i="15"/>
  <c r="F56" i="15" s="1"/>
  <c r="F58" i="15" s="1"/>
  <c r="C25" i="13" s="1"/>
  <c r="P21" i="12"/>
  <c r="R34" i="12"/>
  <c r="S34" i="12" s="1"/>
  <c r="S35" i="12" s="1"/>
  <c r="R42" i="12"/>
  <c r="S42" i="12" s="1"/>
  <c r="S43" i="12" s="1"/>
  <c r="D70" i="2"/>
  <c r="D78" i="2" s="1"/>
  <c r="D34" i="12"/>
  <c r="E34" i="12" s="1"/>
  <c r="E35" i="12" s="1"/>
  <c r="D42" i="12"/>
  <c r="E42" i="12" s="1"/>
  <c r="E43" i="12" s="1"/>
  <c r="C89" i="3"/>
  <c r="F19" i="12"/>
  <c r="C45" i="4"/>
  <c r="H17" i="12" s="1"/>
  <c r="I17" i="12" s="1"/>
  <c r="I18" i="12" s="1"/>
  <c r="I19" i="12" s="1"/>
  <c r="I20" i="12" s="1"/>
  <c r="I21" i="12" s="1"/>
  <c r="I22" i="12" s="1"/>
  <c r="C89" i="6"/>
  <c r="L19" i="12"/>
  <c r="D43" i="7"/>
  <c r="D45" i="7" s="1"/>
  <c r="D87" i="7"/>
  <c r="S17" i="12"/>
  <c r="S18" i="12" s="1"/>
  <c r="C89" i="10"/>
  <c r="T19" i="12"/>
  <c r="C89" i="4"/>
  <c r="H19" i="12"/>
  <c r="C89" i="5"/>
  <c r="J19" i="12"/>
  <c r="D90" i="6"/>
  <c r="C89" i="8"/>
  <c r="E17" i="12"/>
  <c r="E18" i="12" s="1"/>
  <c r="G17" i="12"/>
  <c r="G18" i="12" s="1"/>
  <c r="G19" i="12" s="1"/>
  <c r="G20" i="12" s="1"/>
  <c r="G21" i="12" s="1"/>
  <c r="G22" i="12" s="1"/>
  <c r="D70" i="4"/>
  <c r="D78" i="4" s="1"/>
  <c r="H34" i="12"/>
  <c r="I34" i="12" s="1"/>
  <c r="I35" i="12" s="1"/>
  <c r="H42" i="12"/>
  <c r="I42" i="12" s="1"/>
  <c r="I43" i="12" s="1"/>
  <c r="D70" i="5"/>
  <c r="D78" i="5" s="1"/>
  <c r="J34" i="12"/>
  <c r="K34" i="12" s="1"/>
  <c r="K35" i="12" s="1"/>
  <c r="J42" i="12"/>
  <c r="K42" i="12" s="1"/>
  <c r="K43" i="12" s="1"/>
  <c r="C89" i="7"/>
  <c r="N19" i="12"/>
  <c r="D90" i="7"/>
  <c r="D70" i="8"/>
  <c r="D78" i="8" s="1"/>
  <c r="D153" i="5"/>
  <c r="K15" i="12"/>
  <c r="K16" i="12" s="1"/>
  <c r="K17" i="12" s="1"/>
  <c r="K18" i="12" s="1"/>
  <c r="D153" i="6"/>
  <c r="M15" i="12"/>
  <c r="M16" i="12" s="1"/>
  <c r="M17" i="12" s="1"/>
  <c r="M18" i="12" s="1"/>
  <c r="L34" i="12"/>
  <c r="M34" i="12" s="1"/>
  <c r="M35" i="12" s="1"/>
  <c r="L42" i="12"/>
  <c r="M42" i="12" s="1"/>
  <c r="M43" i="12" s="1"/>
  <c r="N34" i="12"/>
  <c r="O34" i="12" s="1"/>
  <c r="O35" i="12" s="1"/>
  <c r="N42" i="12"/>
  <c r="O42" i="12" s="1"/>
  <c r="O43" i="12" s="1"/>
  <c r="O17" i="12"/>
  <c r="O18" i="12" s="1"/>
  <c r="O19" i="12" s="1"/>
  <c r="O20" i="12" s="1"/>
  <c r="O21" i="12" s="1"/>
  <c r="O22" i="12" s="1"/>
  <c r="C89" i="9"/>
  <c r="R19" i="12"/>
  <c r="C89" i="2"/>
  <c r="D19" i="12"/>
  <c r="D43" i="4"/>
  <c r="Q17" i="12"/>
  <c r="Q18" i="12" s="1"/>
  <c r="Q19" i="12" s="1"/>
  <c r="Q20" i="12" s="1"/>
  <c r="Q21" i="12" s="1"/>
  <c r="Q22" i="12" s="1"/>
  <c r="C45" i="10"/>
  <c r="T17" i="12" s="1"/>
  <c r="U17" i="12" s="1"/>
  <c r="U18" i="12" s="1"/>
  <c r="U19" i="12" s="1"/>
  <c r="U20" i="12" s="1"/>
  <c r="U21" i="12" s="1"/>
  <c r="U22" i="12" s="1"/>
  <c r="D87" i="11"/>
  <c r="D88" i="11"/>
  <c r="D89" i="11" s="1"/>
  <c r="D152" i="11"/>
  <c r="D85" i="11"/>
  <c r="D85" i="10"/>
  <c r="D153" i="10"/>
  <c r="D88" i="10"/>
  <c r="D89" i="10" s="1"/>
  <c r="D90" i="10"/>
  <c r="D87" i="10"/>
  <c r="D44" i="10"/>
  <c r="D43" i="10"/>
  <c r="D85" i="9"/>
  <c r="D153" i="9"/>
  <c r="D88" i="9"/>
  <c r="D89" i="9" s="1"/>
  <c r="D90" i="9"/>
  <c r="D87" i="9"/>
  <c r="D43" i="9"/>
  <c r="D44" i="9"/>
  <c r="D44" i="8"/>
  <c r="D87" i="8"/>
  <c r="D90" i="8"/>
  <c r="D43" i="8"/>
  <c r="D85" i="8"/>
  <c r="D88" i="8"/>
  <c r="D89" i="8" s="1"/>
  <c r="D153" i="8"/>
  <c r="C45" i="7"/>
  <c r="N17" i="12" s="1"/>
  <c r="D88" i="7"/>
  <c r="D89" i="7" s="1"/>
  <c r="D153" i="7"/>
  <c r="D85" i="7"/>
  <c r="D87" i="6"/>
  <c r="D44" i="6"/>
  <c r="D85" i="6"/>
  <c r="D86" i="6" s="1"/>
  <c r="D43" i="6"/>
  <c r="D88" i="6"/>
  <c r="D89" i="6" s="1"/>
  <c r="D85" i="5"/>
  <c r="D86" i="5" s="1"/>
  <c r="D43" i="5"/>
  <c r="D44" i="5"/>
  <c r="D87" i="5"/>
  <c r="D90" i="5"/>
  <c r="D88" i="5"/>
  <c r="D89" i="5" s="1"/>
  <c r="D44" i="4"/>
  <c r="D45" i="4" s="1"/>
  <c r="D87" i="4"/>
  <c r="D90" i="4"/>
  <c r="D88" i="4"/>
  <c r="D89" i="4" s="1"/>
  <c r="D153" i="4"/>
  <c r="D85" i="4"/>
  <c r="D85" i="3"/>
  <c r="D153" i="3"/>
  <c r="D88" i="3"/>
  <c r="D89" i="3" s="1"/>
  <c r="D87" i="3"/>
  <c r="D43" i="3"/>
  <c r="D90" i="3"/>
  <c r="D44" i="3"/>
  <c r="D43" i="2"/>
  <c r="D44" i="2"/>
  <c r="D87" i="2"/>
  <c r="D90" i="2"/>
  <c r="D88" i="2"/>
  <c r="D153" i="2"/>
  <c r="D85" i="2"/>
  <c r="C90" i="1"/>
  <c r="C87" i="1"/>
  <c r="E19" i="12" l="1"/>
  <c r="E20" i="12" s="1"/>
  <c r="E21" i="12" s="1"/>
  <c r="E22" i="12" s="1"/>
  <c r="D57" i="7"/>
  <c r="D54" i="7"/>
  <c r="D55" i="7"/>
  <c r="D56" i="7"/>
  <c r="D53" i="7"/>
  <c r="D58" i="7"/>
  <c r="D76" i="7"/>
  <c r="D52" i="7"/>
  <c r="D51" i="7"/>
  <c r="D59" i="7" s="1"/>
  <c r="D77" i="7" s="1"/>
  <c r="D79" i="7" s="1"/>
  <c r="Q23" i="12"/>
  <c r="Q27" i="12" s="1"/>
  <c r="Q24" i="12"/>
  <c r="Q28" i="12" s="1"/>
  <c r="O23" i="12"/>
  <c r="O27" i="12" s="1"/>
  <c r="O29" i="12" s="1"/>
  <c r="O30" i="12" s="1"/>
  <c r="O50" i="12" s="1"/>
  <c r="O24" i="12"/>
  <c r="O28" i="12" s="1"/>
  <c r="M19" i="12"/>
  <c r="M20" i="12" s="1"/>
  <c r="M21" i="12" s="1"/>
  <c r="M22" i="12" s="1"/>
  <c r="I44" i="12"/>
  <c r="I46" i="12" s="1"/>
  <c r="I47" i="12" s="1"/>
  <c r="I52" i="12" s="1"/>
  <c r="I45" i="12"/>
  <c r="S45" i="12"/>
  <c r="S44" i="12"/>
  <c r="G36" i="12"/>
  <c r="G37" i="12"/>
  <c r="U23" i="12"/>
  <c r="U27" i="12" s="1"/>
  <c r="U29" i="12" s="1"/>
  <c r="U30" i="12" s="1"/>
  <c r="U50" i="12" s="1"/>
  <c r="U24" i="12"/>
  <c r="U28" i="12" s="1"/>
  <c r="I36" i="12"/>
  <c r="I37" i="12"/>
  <c r="I38" i="12" s="1"/>
  <c r="I39" i="12" s="1"/>
  <c r="I51" i="12" s="1"/>
  <c r="S19" i="12"/>
  <c r="S20" i="12" s="1"/>
  <c r="S21" i="12" s="1"/>
  <c r="S22" i="12" s="1"/>
  <c r="S37" i="12"/>
  <c r="S36" i="12"/>
  <c r="S38" i="12" s="1"/>
  <c r="S39" i="12" s="1"/>
  <c r="S51" i="12" s="1"/>
  <c r="D45" i="11"/>
  <c r="D45" i="10"/>
  <c r="O44" i="12"/>
  <c r="O46" i="12" s="1"/>
  <c r="O47" i="12" s="1"/>
  <c r="O52" i="12" s="1"/>
  <c r="O45" i="12"/>
  <c r="K19" i="12"/>
  <c r="K20" i="12" s="1"/>
  <c r="K21" i="12" s="1"/>
  <c r="K22" i="12" s="1"/>
  <c r="P34" i="12"/>
  <c r="Q34" i="12" s="1"/>
  <c r="Q35" i="12" s="1"/>
  <c r="P42" i="12"/>
  <c r="Q42" i="12" s="1"/>
  <c r="Q43" i="12" s="1"/>
  <c r="O37" i="12"/>
  <c r="O36" i="12"/>
  <c r="O38" i="12" s="1"/>
  <c r="O39" i="12" s="1"/>
  <c r="O51" i="12" s="1"/>
  <c r="K44" i="12"/>
  <c r="K45" i="12"/>
  <c r="G24" i="12"/>
  <c r="G28" i="12" s="1"/>
  <c r="G23" i="12"/>
  <c r="G27" i="12" s="1"/>
  <c r="E44" i="12"/>
  <c r="E45" i="12"/>
  <c r="I23" i="12"/>
  <c r="I27" i="12" s="1"/>
  <c r="I24" i="12"/>
  <c r="I28" i="12" s="1"/>
  <c r="K37" i="12"/>
  <c r="K36" i="12"/>
  <c r="E37" i="12"/>
  <c r="E36" i="12"/>
  <c r="E38" i="12" s="1"/>
  <c r="E39" i="12" s="1"/>
  <c r="E51" i="12" s="1"/>
  <c r="U45" i="12"/>
  <c r="U44" i="12"/>
  <c r="U46" i="12" s="1"/>
  <c r="U47" i="12" s="1"/>
  <c r="U52" i="12" s="1"/>
  <c r="M45" i="12"/>
  <c r="M44" i="12"/>
  <c r="E23" i="12"/>
  <c r="E27" i="12" s="1"/>
  <c r="E24" i="12"/>
  <c r="E28" i="12" s="1"/>
  <c r="D89" i="2"/>
  <c r="M36" i="12"/>
  <c r="M37" i="12"/>
  <c r="M38" i="12" s="1"/>
  <c r="M39" i="12" s="1"/>
  <c r="M51" i="12" s="1"/>
  <c r="G44" i="12"/>
  <c r="G45" i="12"/>
  <c r="U37" i="12"/>
  <c r="U36" i="12"/>
  <c r="D86" i="11"/>
  <c r="D91" i="11" s="1"/>
  <c r="D154" i="11" s="1"/>
  <c r="D53" i="10"/>
  <c r="D51" i="10"/>
  <c r="D54" i="10"/>
  <c r="D56" i="10"/>
  <c r="D58" i="10"/>
  <c r="D57" i="10"/>
  <c r="D52" i="10"/>
  <c r="D86" i="10"/>
  <c r="D91" i="10" s="1"/>
  <c r="D155" i="10" s="1"/>
  <c r="D86" i="9"/>
  <c r="D91" i="9" s="1"/>
  <c r="D155" i="9" s="1"/>
  <c r="D45" i="9"/>
  <c r="D45" i="8"/>
  <c r="D52" i="8" s="1"/>
  <c r="D54" i="8"/>
  <c r="D51" i="8"/>
  <c r="D56" i="8"/>
  <c r="D86" i="8"/>
  <c r="D91" i="8" s="1"/>
  <c r="D155" i="8" s="1"/>
  <c r="D86" i="7"/>
  <c r="D91" i="7" s="1"/>
  <c r="D155" i="7" s="1"/>
  <c r="D45" i="6"/>
  <c r="D76" i="6" s="1"/>
  <c r="D91" i="6"/>
  <c r="D155" i="6" s="1"/>
  <c r="D45" i="5"/>
  <c r="D51" i="5" s="1"/>
  <c r="D57" i="5"/>
  <c r="D52" i="5"/>
  <c r="D91" i="5"/>
  <c r="D155" i="5" s="1"/>
  <c r="D76" i="4"/>
  <c r="D52" i="4"/>
  <c r="D58" i="4"/>
  <c r="D53" i="4"/>
  <c r="D55" i="4"/>
  <c r="D51" i="4"/>
  <c r="D57" i="4"/>
  <c r="D54" i="4"/>
  <c r="D56" i="4"/>
  <c r="D86" i="4"/>
  <c r="D91" i="4" s="1"/>
  <c r="D155" i="4" s="1"/>
  <c r="D45" i="3"/>
  <c r="D86" i="3"/>
  <c r="D91" i="3" s="1"/>
  <c r="D155" i="3" s="1"/>
  <c r="D86" i="2"/>
  <c r="D91" i="2" s="1"/>
  <c r="D155" i="2" s="1"/>
  <c r="D45" i="2"/>
  <c r="C140" i="1"/>
  <c r="C147" i="1"/>
  <c r="B21" i="12" s="1"/>
  <c r="C104" i="1"/>
  <c r="C103" i="1"/>
  <c r="C102" i="1"/>
  <c r="C101" i="1"/>
  <c r="C100" i="1"/>
  <c r="C88" i="1"/>
  <c r="C85" i="1"/>
  <c r="C44" i="1"/>
  <c r="C43" i="1"/>
  <c r="G46" i="12" l="1"/>
  <c r="G47" i="12" s="1"/>
  <c r="G52" i="12" s="1"/>
  <c r="S46" i="12"/>
  <c r="S47" i="12" s="1"/>
  <c r="S52" i="12" s="1"/>
  <c r="B34" i="12"/>
  <c r="C34" i="12" s="1"/>
  <c r="C35" i="12" s="1"/>
  <c r="B42" i="12"/>
  <c r="C42" i="12" s="1"/>
  <c r="C43" i="12" s="1"/>
  <c r="D57" i="6"/>
  <c r="D57" i="8"/>
  <c r="O53" i="12"/>
  <c r="C45" i="1"/>
  <c r="B17" i="12" s="1"/>
  <c r="D52" i="6"/>
  <c r="D58" i="8"/>
  <c r="D76" i="8"/>
  <c r="E29" i="12"/>
  <c r="E30" i="12" s="1"/>
  <c r="E50" i="12" s="1"/>
  <c r="E46" i="12"/>
  <c r="E47" i="12" s="1"/>
  <c r="E52" i="12" s="1"/>
  <c r="D76" i="10"/>
  <c r="D55" i="10"/>
  <c r="D59" i="10" s="1"/>
  <c r="D77" i="10" s="1"/>
  <c r="D79" i="10" s="1"/>
  <c r="D55" i="8"/>
  <c r="M46" i="12"/>
  <c r="M47" i="12" s="1"/>
  <c r="M52" i="12" s="1"/>
  <c r="K38" i="12"/>
  <c r="K39" i="12" s="1"/>
  <c r="K51" i="12" s="1"/>
  <c r="G29" i="12"/>
  <c r="G30" i="12" s="1"/>
  <c r="G50" i="12" s="1"/>
  <c r="Q44" i="12"/>
  <c r="Q45" i="12"/>
  <c r="D53" i="11"/>
  <c r="D57" i="11"/>
  <c r="D55" i="11"/>
  <c r="D54" i="11"/>
  <c r="D56" i="11"/>
  <c r="D76" i="11"/>
  <c r="D58" i="11"/>
  <c r="D52" i="11"/>
  <c r="D51" i="11"/>
  <c r="Q29" i="12"/>
  <c r="Q30" i="12" s="1"/>
  <c r="Q50" i="12" s="1"/>
  <c r="Q36" i="12"/>
  <c r="Q37" i="12"/>
  <c r="M24" i="12"/>
  <c r="M28" i="12" s="1"/>
  <c r="M23" i="12"/>
  <c r="M27" i="12" s="1"/>
  <c r="K24" i="12"/>
  <c r="K28" i="12" s="1"/>
  <c r="K23" i="12"/>
  <c r="K27" i="12" s="1"/>
  <c r="K29" i="12" s="1"/>
  <c r="K30" i="12" s="1"/>
  <c r="K50" i="12" s="1"/>
  <c r="D53" i="8"/>
  <c r="U38" i="12"/>
  <c r="U39" i="12" s="1"/>
  <c r="U51" i="12" s="1"/>
  <c r="U53" i="12" s="1"/>
  <c r="I29" i="12"/>
  <c r="I30" i="12" s="1"/>
  <c r="I50" i="12" s="1"/>
  <c r="I53" i="12" s="1"/>
  <c r="K46" i="12"/>
  <c r="K47" i="12" s="1"/>
  <c r="K52" i="12" s="1"/>
  <c r="S23" i="12"/>
  <c r="S27" i="12" s="1"/>
  <c r="S24" i="12"/>
  <c r="S28" i="12" s="1"/>
  <c r="G38" i="12"/>
  <c r="G39" i="12" s="1"/>
  <c r="G51" i="12" s="1"/>
  <c r="D76" i="9"/>
  <c r="D54" i="9"/>
  <c r="D55" i="9"/>
  <c r="D57" i="9"/>
  <c r="D53" i="9"/>
  <c r="D51" i="9"/>
  <c r="D56" i="9"/>
  <c r="D58" i="9"/>
  <c r="D52" i="9"/>
  <c r="D59" i="8"/>
  <c r="D77" i="8" s="1"/>
  <c r="D79" i="8" s="1"/>
  <c r="D154" i="7"/>
  <c r="D104" i="7"/>
  <c r="D101" i="7"/>
  <c r="D105" i="7"/>
  <c r="D102" i="7"/>
  <c r="D100" i="7"/>
  <c r="D103" i="7"/>
  <c r="D112" i="7"/>
  <c r="D113" i="7" s="1"/>
  <c r="D120" i="7" s="1"/>
  <c r="D55" i="6"/>
  <c r="D56" i="6"/>
  <c r="D58" i="6"/>
  <c r="D53" i="6"/>
  <c r="D51" i="6"/>
  <c r="D54" i="6"/>
  <c r="D55" i="5"/>
  <c r="D53" i="5"/>
  <c r="D59" i="5" s="1"/>
  <c r="D77" i="5" s="1"/>
  <c r="D56" i="5"/>
  <c r="D58" i="5"/>
  <c r="D76" i="5"/>
  <c r="D54" i="5"/>
  <c r="D59" i="4"/>
  <c r="D77" i="4" s="1"/>
  <c r="D79" i="4"/>
  <c r="D76" i="3"/>
  <c r="D53" i="3"/>
  <c r="D54" i="3"/>
  <c r="D57" i="3"/>
  <c r="D56" i="3"/>
  <c r="D58" i="3"/>
  <c r="D55" i="3"/>
  <c r="D51" i="3"/>
  <c r="D52" i="3"/>
  <c r="D55" i="2"/>
  <c r="D76" i="2"/>
  <c r="D56" i="2"/>
  <c r="D52" i="2"/>
  <c r="D54" i="2"/>
  <c r="D51" i="2"/>
  <c r="D58" i="2"/>
  <c r="D57" i="2"/>
  <c r="D53" i="2"/>
  <c r="D157" i="1"/>
  <c r="D70" i="1"/>
  <c r="D78" i="1" s="1"/>
  <c r="C59" i="1"/>
  <c r="D35" i="1"/>
  <c r="K53" i="12" l="1"/>
  <c r="G53" i="12"/>
  <c r="S29" i="12"/>
  <c r="S30" i="12" s="1"/>
  <c r="S50" i="12" s="1"/>
  <c r="S53" i="12" s="1"/>
  <c r="D59" i="11"/>
  <c r="D77" i="11" s="1"/>
  <c r="D79" i="11" s="1"/>
  <c r="E53" i="12"/>
  <c r="C15" i="12"/>
  <c r="C16" i="12" s="1"/>
  <c r="C17" i="12" s="1"/>
  <c r="C18" i="12" s="1"/>
  <c r="M29" i="12"/>
  <c r="M30" i="12" s="1"/>
  <c r="M50" i="12" s="1"/>
  <c r="M53" i="12" s="1"/>
  <c r="C89" i="1"/>
  <c r="B19" i="12"/>
  <c r="D79" i="5"/>
  <c r="D59" i="6"/>
  <c r="D77" i="6" s="1"/>
  <c r="D79" i="6" s="1"/>
  <c r="D104" i="6" s="1"/>
  <c r="C44" i="12"/>
  <c r="C45" i="12"/>
  <c r="Q38" i="12"/>
  <c r="Q39" i="12" s="1"/>
  <c r="Q51" i="12" s="1"/>
  <c r="Q53" i="12" s="1"/>
  <c r="Q46" i="12"/>
  <c r="Q47" i="12" s="1"/>
  <c r="Q52" i="12" s="1"/>
  <c r="C36" i="12"/>
  <c r="C37" i="12"/>
  <c r="D154" i="10"/>
  <c r="D103" i="10"/>
  <c r="D112" i="10"/>
  <c r="D113" i="10" s="1"/>
  <c r="D120" i="10" s="1"/>
  <c r="D101" i="10"/>
  <c r="D100" i="10"/>
  <c r="D102" i="10"/>
  <c r="D105" i="10"/>
  <c r="D104" i="10"/>
  <c r="D59" i="9"/>
  <c r="D77" i="9" s="1"/>
  <c r="D79" i="9" s="1"/>
  <c r="D154" i="8"/>
  <c r="D102" i="8"/>
  <c r="D103" i="8"/>
  <c r="D101" i="8"/>
  <c r="D112" i="8"/>
  <c r="D113" i="8" s="1"/>
  <c r="D120" i="8" s="1"/>
  <c r="D104" i="8"/>
  <c r="D105" i="8"/>
  <c r="D100" i="8"/>
  <c r="D106" i="7"/>
  <c r="D119" i="7" s="1"/>
  <c r="D121" i="7" s="1"/>
  <c r="D156" i="7" s="1"/>
  <c r="D158" i="7" s="1"/>
  <c r="D154" i="6"/>
  <c r="D101" i="6"/>
  <c r="D105" i="6"/>
  <c r="D103" i="6"/>
  <c r="D100" i="6"/>
  <c r="D112" i="6"/>
  <c r="D113" i="6" s="1"/>
  <c r="D120" i="6" s="1"/>
  <c r="D102" i="6"/>
  <c r="D154" i="5"/>
  <c r="D103" i="5"/>
  <c r="D100" i="5"/>
  <c r="D102" i="5"/>
  <c r="D104" i="5"/>
  <c r="D101" i="5"/>
  <c r="D112" i="5"/>
  <c r="D113" i="5" s="1"/>
  <c r="D120" i="5" s="1"/>
  <c r="D105" i="5"/>
  <c r="D154" i="4"/>
  <c r="D104" i="4"/>
  <c r="D101" i="4"/>
  <c r="D102" i="4"/>
  <c r="D100" i="4"/>
  <c r="D112" i="4"/>
  <c r="D113" i="4" s="1"/>
  <c r="D120" i="4" s="1"/>
  <c r="D103" i="4"/>
  <c r="D105" i="4"/>
  <c r="D59" i="3"/>
  <c r="D77" i="3" s="1"/>
  <c r="D79" i="3" s="1"/>
  <c r="D59" i="2"/>
  <c r="D77" i="2" s="1"/>
  <c r="D79" i="2" s="1"/>
  <c r="D87" i="1"/>
  <c r="D85" i="1"/>
  <c r="D86" i="1" s="1"/>
  <c r="D88" i="1"/>
  <c r="D89" i="1" s="1"/>
  <c r="D153" i="1"/>
  <c r="D44" i="1"/>
  <c r="D90" i="1"/>
  <c r="D43" i="1"/>
  <c r="C46" i="12" l="1"/>
  <c r="C47" i="12" s="1"/>
  <c r="C52" i="12" s="1"/>
  <c r="C38" i="12"/>
  <c r="C39" i="12" s="1"/>
  <c r="C51" i="12" s="1"/>
  <c r="C19" i="12"/>
  <c r="C20" i="12" s="1"/>
  <c r="C21" i="12" s="1"/>
  <c r="C22" i="12" s="1"/>
  <c r="D104" i="11"/>
  <c r="D153" i="11"/>
  <c r="D100" i="11"/>
  <c r="D105" i="11"/>
  <c r="D103" i="11"/>
  <c r="D101" i="11"/>
  <c r="D112" i="11"/>
  <c r="D113" i="11" s="1"/>
  <c r="D120" i="11" s="1"/>
  <c r="D102" i="11"/>
  <c r="D106" i="10"/>
  <c r="D119" i="10" s="1"/>
  <c r="D121" i="10" s="1"/>
  <c r="D156" i="10" s="1"/>
  <c r="D158" i="10" s="1"/>
  <c r="D154" i="9"/>
  <c r="D103" i="9"/>
  <c r="D112" i="9"/>
  <c r="D113" i="9" s="1"/>
  <c r="D120" i="9" s="1"/>
  <c r="D104" i="9"/>
  <c r="D101" i="9"/>
  <c r="D100" i="9"/>
  <c r="D105" i="9"/>
  <c r="D102" i="9"/>
  <c r="D106" i="8"/>
  <c r="D119" i="8" s="1"/>
  <c r="D121" i="8" s="1"/>
  <c r="D156" i="8" s="1"/>
  <c r="D158" i="8" s="1"/>
  <c r="D138" i="7"/>
  <c r="D106" i="6"/>
  <c r="D119" i="6" s="1"/>
  <c r="D121" i="6" s="1"/>
  <c r="D156" i="6" s="1"/>
  <c r="D158" i="6" s="1"/>
  <c r="D106" i="5"/>
  <c r="D119" i="5" s="1"/>
  <c r="D121" i="5" s="1"/>
  <c r="D156" i="5" s="1"/>
  <c r="D158" i="5" s="1"/>
  <c r="D106" i="4"/>
  <c r="D119" i="4" s="1"/>
  <c r="D121" i="4" s="1"/>
  <c r="D156" i="4" s="1"/>
  <c r="D158" i="4" s="1"/>
  <c r="D154" i="3"/>
  <c r="D100" i="3"/>
  <c r="D112" i="3"/>
  <c r="D113" i="3" s="1"/>
  <c r="D120" i="3" s="1"/>
  <c r="D102" i="3"/>
  <c r="D105" i="3"/>
  <c r="D104" i="3"/>
  <c r="D103" i="3"/>
  <c r="D101" i="3"/>
  <c r="D154" i="2"/>
  <c r="D103" i="2"/>
  <c r="D100" i="2"/>
  <c r="D101" i="2"/>
  <c r="D102" i="2"/>
  <c r="D112" i="2"/>
  <c r="D113" i="2" s="1"/>
  <c r="D120" i="2" s="1"/>
  <c r="D105" i="2"/>
  <c r="D104" i="2"/>
  <c r="D45" i="1"/>
  <c r="D91" i="1"/>
  <c r="D106" i="11" l="1"/>
  <c r="D119" i="11" s="1"/>
  <c r="D121" i="11" s="1"/>
  <c r="D155" i="11" s="1"/>
  <c r="D157" i="11" s="1"/>
  <c r="C23" i="12"/>
  <c r="C27" i="12" s="1"/>
  <c r="C24" i="12"/>
  <c r="C28" i="12" s="1"/>
  <c r="D138" i="10"/>
  <c r="D106" i="9"/>
  <c r="D119" i="9" s="1"/>
  <c r="D121" i="9" s="1"/>
  <c r="D156" i="9" s="1"/>
  <c r="D158" i="9" s="1"/>
  <c r="D138" i="8"/>
  <c r="D139" i="7"/>
  <c r="D140" i="7" s="1"/>
  <c r="D138" i="6"/>
  <c r="D138" i="5"/>
  <c r="D138" i="4"/>
  <c r="D106" i="3"/>
  <c r="D119" i="3" s="1"/>
  <c r="D121" i="3" s="1"/>
  <c r="D156" i="3" s="1"/>
  <c r="D158" i="3" s="1"/>
  <c r="D106" i="2"/>
  <c r="D119" i="2" s="1"/>
  <c r="D121" i="2" s="1"/>
  <c r="D156" i="2" s="1"/>
  <c r="D158" i="2"/>
  <c r="D76" i="1"/>
  <c r="D52" i="1"/>
  <c r="D57" i="1"/>
  <c r="D56" i="1"/>
  <c r="D58" i="1"/>
  <c r="D54" i="1"/>
  <c r="D53" i="1"/>
  <c r="D55" i="1"/>
  <c r="D51" i="1"/>
  <c r="D155" i="1"/>
  <c r="D137" i="11" l="1"/>
  <c r="C29" i="12"/>
  <c r="C30" i="12" s="1"/>
  <c r="C50" i="12" s="1"/>
  <c r="C53" i="12" s="1"/>
  <c r="A51" i="12" s="1"/>
  <c r="F27" i="13" s="1"/>
  <c r="D139" i="10"/>
  <c r="D140" i="10" s="1"/>
  <c r="D138" i="9"/>
  <c r="D139" i="8"/>
  <c r="D140" i="8" s="1"/>
  <c r="D147" i="7"/>
  <c r="D159" i="7" s="1"/>
  <c r="D160" i="7" s="1"/>
  <c r="C11" i="13" s="1"/>
  <c r="E11" i="13" s="1"/>
  <c r="F11" i="13" s="1"/>
  <c r="D139" i="6"/>
  <c r="D140" i="6" s="1"/>
  <c r="D139" i="5"/>
  <c r="D140" i="5" s="1"/>
  <c r="D139" i="4"/>
  <c r="D140" i="4" s="1"/>
  <c r="D138" i="3"/>
  <c r="D138" i="2"/>
  <c r="D59" i="1"/>
  <c r="D77" i="1" s="1"/>
  <c r="D79" i="1" s="1"/>
  <c r="D103" i="1" l="1"/>
  <c r="D112" i="1"/>
  <c r="D113" i="1" s="1"/>
  <c r="D120" i="1" s="1"/>
  <c r="D138" i="11"/>
  <c r="D139" i="11" s="1"/>
  <c r="D147" i="10"/>
  <c r="D159" i="10" s="1"/>
  <c r="D160" i="10" s="1"/>
  <c r="C14" i="13" s="1"/>
  <c r="E14" i="13" s="1"/>
  <c r="F14" i="13" s="1"/>
  <c r="D139" i="9"/>
  <c r="D140" i="9" s="1"/>
  <c r="D147" i="8"/>
  <c r="D159" i="8" s="1"/>
  <c r="D160" i="8" s="1"/>
  <c r="C12" i="13" s="1"/>
  <c r="E12" i="13" s="1"/>
  <c r="F12" i="13" s="1"/>
  <c r="D144" i="7"/>
  <c r="D141" i="7"/>
  <c r="D145" i="7"/>
  <c r="D143" i="7"/>
  <c r="D142" i="7"/>
  <c r="D146" i="7"/>
  <c r="D147" i="6"/>
  <c r="D159" i="6" s="1"/>
  <c r="D147" i="5"/>
  <c r="D159" i="5" s="1"/>
  <c r="D160" i="5" s="1"/>
  <c r="C9" i="13" s="1"/>
  <c r="E9" i="13" s="1"/>
  <c r="F9" i="13" s="1"/>
  <c r="D147" i="4"/>
  <c r="D159" i="4" s="1"/>
  <c r="D160" i="4" s="1"/>
  <c r="C8" i="13" s="1"/>
  <c r="E8" i="13" s="1"/>
  <c r="F8" i="13" s="1"/>
  <c r="D139" i="3"/>
  <c r="D140" i="3" s="1"/>
  <c r="D139" i="2"/>
  <c r="D140" i="2" s="1"/>
  <c r="D100" i="1"/>
  <c r="D154" i="1"/>
  <c r="D104" i="1"/>
  <c r="D101" i="1"/>
  <c r="D105" i="1"/>
  <c r="D102" i="1"/>
  <c r="D146" i="11" l="1"/>
  <c r="D158" i="11" s="1"/>
  <c r="D159" i="11" s="1"/>
  <c r="D160" i="6"/>
  <c r="D144" i="10"/>
  <c r="D142" i="10"/>
  <c r="D143" i="10"/>
  <c r="D146" i="10"/>
  <c r="D145" i="10"/>
  <c r="D141" i="10"/>
  <c r="D147" i="9"/>
  <c r="D159" i="9" s="1"/>
  <c r="D160" i="9" s="1"/>
  <c r="C13" i="13" s="1"/>
  <c r="E13" i="13" s="1"/>
  <c r="F13" i="13" s="1"/>
  <c r="D144" i="8"/>
  <c r="D143" i="8"/>
  <c r="D142" i="8"/>
  <c r="D141" i="8"/>
  <c r="D146" i="8"/>
  <c r="D145" i="8"/>
  <c r="D144" i="5"/>
  <c r="D143" i="5"/>
  <c r="D142" i="5"/>
  <c r="D141" i="5"/>
  <c r="D146" i="5"/>
  <c r="D145" i="5"/>
  <c r="D144" i="4"/>
  <c r="D143" i="4"/>
  <c r="D146" i="4"/>
  <c r="D142" i="4"/>
  <c r="D145" i="4"/>
  <c r="D141" i="4"/>
  <c r="D147" i="3"/>
  <c r="D159" i="3" s="1"/>
  <c r="D160" i="3" s="1"/>
  <c r="C7" i="13" s="1"/>
  <c r="E7" i="13" s="1"/>
  <c r="F7" i="13" s="1"/>
  <c r="D147" i="2"/>
  <c r="D159" i="2" s="1"/>
  <c r="D160" i="2" s="1"/>
  <c r="C6" i="13" s="1"/>
  <c r="E6" i="13" s="1"/>
  <c r="F6" i="13" s="1"/>
  <c r="D106" i="1"/>
  <c r="D119" i="1" s="1"/>
  <c r="D121" i="1" s="1"/>
  <c r="D156" i="1" s="1"/>
  <c r="D158" i="1" s="1"/>
  <c r="C10" i="13" l="1"/>
  <c r="E10" i="13" s="1"/>
  <c r="F10" i="13" s="1"/>
  <c r="D145" i="6"/>
  <c r="D143" i="6"/>
  <c r="D142" i="6"/>
  <c r="D146" i="6"/>
  <c r="D141" i="6"/>
  <c r="D144" i="6"/>
  <c r="D138" i="1"/>
  <c r="D139" i="1" s="1"/>
  <c r="D140" i="1" s="1"/>
  <c r="C19" i="13"/>
  <c r="E19" i="13" s="1"/>
  <c r="F19" i="13" s="1"/>
  <c r="F20" i="13" s="1"/>
  <c r="F26" i="13" s="1"/>
  <c r="D143" i="11"/>
  <c r="D140" i="11"/>
  <c r="D142" i="11"/>
  <c r="D141" i="11"/>
  <c r="D144" i="11"/>
  <c r="D145" i="11"/>
  <c r="D144" i="9"/>
  <c r="D143" i="9"/>
  <c r="D142" i="9"/>
  <c r="D146" i="9"/>
  <c r="D145" i="9"/>
  <c r="D141" i="9"/>
  <c r="D144" i="3"/>
  <c r="D142" i="3"/>
  <c r="D141" i="3"/>
  <c r="D143" i="3"/>
  <c r="D146" i="3"/>
  <c r="D145" i="3"/>
  <c r="D144" i="2"/>
  <c r="D143" i="2"/>
  <c r="D142" i="2"/>
  <c r="D141" i="2"/>
  <c r="D146" i="2"/>
  <c r="D145" i="2"/>
  <c r="D147" i="1" l="1"/>
  <c r="D159" i="1" s="1"/>
  <c r="D160" i="1"/>
  <c r="C5" i="13" s="1"/>
  <c r="E5" i="13" s="1"/>
  <c r="F5" i="13" s="1"/>
  <c r="F15" i="13" s="1"/>
  <c r="D143" i="1"/>
  <c r="D141" i="1"/>
  <c r="D144" i="1"/>
  <c r="D142" i="1" l="1"/>
  <c r="C24" i="13"/>
  <c r="C28" i="13" s="1"/>
  <c r="F24" i="13"/>
  <c r="F28" i="13" s="1"/>
  <c r="D145" i="1"/>
  <c r="D146" i="1"/>
  <c r="F29" i="13" l="1"/>
</calcChain>
</file>

<file path=xl/sharedStrings.xml><?xml version="1.0" encoding="utf-8"?>
<sst xmlns="http://schemas.openxmlformats.org/spreadsheetml/2006/main" count="2645" uniqueCount="269">
  <si>
    <t>PLANILHA DE CUSTOS E FORMAÇÃO DE PREÇOS</t>
  </si>
  <si>
    <t>Módulo 1 - Composição da Remuneração</t>
  </si>
  <si>
    <t>Composição da Remuneração</t>
  </si>
  <si>
    <t>Valor (R$)</t>
  </si>
  <si>
    <t>A</t>
  </si>
  <si>
    <t>Salário-Base</t>
  </si>
  <si>
    <t>B</t>
  </si>
  <si>
    <t>Adicional de Periculosidade</t>
  </si>
  <si>
    <t>C</t>
  </si>
  <si>
    <t>Adicional de Insalubridade</t>
  </si>
  <si>
    <t>D</t>
  </si>
  <si>
    <t>Adicional Noturno</t>
  </si>
  <si>
    <t>E</t>
  </si>
  <si>
    <t>Adicional de Hora Noturna Reduzida</t>
  </si>
  <si>
    <t>G</t>
  </si>
  <si>
    <t>Outros (especificar)</t>
  </si>
  <si>
    <t>Total</t>
  </si>
  <si>
    <t>Módulo 2 - Encargos e Benefícios Anuais, Mensais e Diários</t>
  </si>
  <si>
    <t>Submódulo 2.1 - 13º (décimo terceiro) Salário, Férias e Adicional de Férias</t>
  </si>
  <si>
    <t>2.1</t>
  </si>
  <si>
    <t>13º (décimo terceiro) Salário, Férias e Adicional de Férias</t>
  </si>
  <si>
    <t>13º (décimo terceiro) Salário</t>
  </si>
  <si>
    <t>Férias e Adicional de Férias</t>
  </si>
  <si>
    <t>Submódulo 2.2 - Encargos Previdenciários (GPS), Fundo de Garantia por Tempo de Serviço (FGTS) e outras contribuições.</t>
  </si>
  <si>
    <t>2.2</t>
  </si>
  <si>
    <t>GPS, FGTS e outras contribuições</t>
  </si>
  <si>
    <t>Percentual (%)</t>
  </si>
  <si>
    <t>INSS</t>
  </si>
  <si>
    <t>Salário Educação</t>
  </si>
  <si>
    <t>SAT</t>
  </si>
  <si>
    <t>SESC ou SESI</t>
  </si>
  <si>
    <t>SENAI - SENAC</t>
  </si>
  <si>
    <t>F</t>
  </si>
  <si>
    <t>SEBRAE</t>
  </si>
  <si>
    <t>INCRA</t>
  </si>
  <si>
    <t>H</t>
  </si>
  <si>
    <t>FGTS</t>
  </si>
  <si>
    <t xml:space="preserve">Total 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</si>
  <si>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</si>
  <si>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</si>
  <si>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</si>
  <si>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</si>
  <si>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</si>
  <si>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Quadro-Resumo do Módulo 2 - Encargos e Benefícios anuais, mensais e diários</t>
  </si>
  <si>
    <t>Encargos e Benefícios Anuais, Mensais e Diários</t>
  </si>
  <si>
    <t>Módulo 3 - Provisão para Rescisão</t>
  </si>
  <si>
    <t>Provisão para Rescisão</t>
  </si>
  <si>
    <t>Aviso Prévio Indenizado</t>
  </si>
  <si>
    <t>Incidência do FGTS sobre o Aviso Prévio Indenizado</t>
  </si>
  <si>
    <t>Aviso Prévio Trabalhado</t>
  </si>
  <si>
    <t>Módulo 4 - Custo de Reposição do Profissional Ausente</t>
  </si>
  <si>
    <t>4.1</t>
  </si>
  <si>
    <t>4.2</t>
  </si>
  <si>
    <t>Quadro-Resumo do Módulo 4 - Custo de Reposição do Profissional Ausente</t>
  </si>
  <si>
    <t>Custo de Reposição do Profissional Ausente</t>
  </si>
  <si>
    <t>Módulo 5 - Insumos Diversos</t>
  </si>
  <si>
    <t>Insumos Diversos</t>
  </si>
  <si>
    <t>Uniformes</t>
  </si>
  <si>
    <t>Materiais</t>
  </si>
  <si>
    <t>Equipamentos</t>
  </si>
  <si>
    <t>Módulo 6 - Custos Indiretos, Tributos e Lucro</t>
  </si>
  <si>
    <t>Custos Indiretos, Tributos e Lucro</t>
  </si>
  <si>
    <t>Custos Indiretos</t>
  </si>
  <si>
    <t>Lucro</t>
  </si>
  <si>
    <t>Tributos</t>
  </si>
  <si>
    <t>C.1. Tributos Federais (especificar)</t>
  </si>
  <si>
    <t>C.2. Tributos Estaduais (especificar)</t>
  </si>
  <si>
    <t>C.3. Tributos Municipais (especificar)</t>
  </si>
  <si>
    <t>2. QUADRO-RESUMO DO CUSTO POR EMPREGADO</t>
  </si>
  <si>
    <t>Mão de obra vinculada à execução contratual (valor por empregado)</t>
  </si>
  <si>
    <t>Módulo 6 – Custos Indiretos, Tributos e Lucro</t>
  </si>
  <si>
    <t xml:space="preserve">Valor Total por Empregado </t>
  </si>
  <si>
    <t>Dados complementares para composição dos custos referente à mão-de-obra</t>
  </si>
  <si>
    <t>Tipo de serviço (mesmo serviço com características distintas)</t>
  </si>
  <si>
    <t>Salário Normativo da Categoria Profissional</t>
  </si>
  <si>
    <t>Categoria profissional (vinculada à execução contratual)</t>
  </si>
  <si>
    <t>Data base da categoria (dia/mês/ano)</t>
  </si>
  <si>
    <t>Submódulo 4.1 - Substituto nas Ausências Legais</t>
  </si>
  <si>
    <t>Substituto nas Ausências Legais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</si>
  <si>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</si>
  <si>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</si>
  <si>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</si>
  <si>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</si>
  <si>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</si>
  <si>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Outras ausências (especificar)</t>
  </si>
  <si>
    <t>Submódulo 4.2 - Substituto na Intrajornada</t>
  </si>
  <si>
    <t>Substituto na Intrajornada</t>
  </si>
  <si>
    <t>Substituto na cobertura de Intervalo para repouso e alimentação</t>
  </si>
  <si>
    <t>Identificação do Serviço</t>
  </si>
  <si>
    <t>Tipo de Serviço</t>
  </si>
  <si>
    <t>Unidade de Medida</t>
  </si>
  <si>
    <t>Quantidade total a contratar (em função da unidade de medida)</t>
  </si>
  <si>
    <t>Classificação Brasileira de Ocupações (CBO)</t>
  </si>
  <si>
    <t>Incidência de GPS, FGTS e outras contribuições sobre o Aviso Prévio Trabalhado</t>
  </si>
  <si>
    <t>Subtotal (A + B +C+ D + E)</t>
  </si>
  <si>
    <t>C.1.A. PIS</t>
  </si>
  <si>
    <t>C.1.B. COFINS</t>
  </si>
  <si>
    <t>C.3.A. ISS</t>
  </si>
  <si>
    <t>Multa do FGTS sobre o Aviso Prévio Indenizado</t>
  </si>
  <si>
    <t>Multa do FGTS sobre o Aviso Prévio Trabalhado</t>
  </si>
  <si>
    <t>Auxiliar de Jardinagem</t>
  </si>
  <si>
    <t>posto de serviço</t>
  </si>
  <si>
    <t>9922-25</t>
  </si>
  <si>
    <t>Assistência Médica</t>
  </si>
  <si>
    <t>Assistência Odontológica</t>
  </si>
  <si>
    <t>Seguro de Vida</t>
  </si>
  <si>
    <t>EPIs</t>
  </si>
  <si>
    <t>Cabo de Turma</t>
  </si>
  <si>
    <t>4101-05</t>
  </si>
  <si>
    <t>Coordenador Administrativo</t>
  </si>
  <si>
    <t>Coordenador Operacional</t>
  </si>
  <si>
    <t xml:space="preserve">Jardineiro </t>
  </si>
  <si>
    <t>6220-10</t>
  </si>
  <si>
    <t>Lavador de Veículo</t>
  </si>
  <si>
    <t>5199-35</t>
  </si>
  <si>
    <t>Limpador de Vidros</t>
  </si>
  <si>
    <t>5143-05</t>
  </si>
  <si>
    <t xml:space="preserve">  Servente de Limpeza</t>
  </si>
  <si>
    <t>5143-20</t>
  </si>
  <si>
    <t>Varredor</t>
  </si>
  <si>
    <t>5142-15</t>
  </si>
  <si>
    <t>vhe = [ rem × (1+13fa) × (1+es) × (1+i) × (1+ci) × (1+ℓ) ÷ d ] / (1-t)</t>
  </si>
  <si>
    <t>Onde:</t>
  </si>
  <si>
    <t>vhe = valor da hora extra</t>
  </si>
  <si>
    <t>rem = remuneração</t>
  </si>
  <si>
    <t>d = divisor, de acordo com a jornada mensal prevista na CCT ou, na sua falta, na legislação trabalhista</t>
  </si>
  <si>
    <t>13fa = incidência sobre 13º salário, férias e adicional</t>
  </si>
  <si>
    <t>es = encargos sociais relativos ao módulo 2.2 da planilha de custos e formação de preços</t>
  </si>
  <si>
    <t>i = índice referente ao acréscimo legal sobre a hora normal, previsto na respectiva Convenção Coletiva de Trabalho - CCT ou, na sua falta, na legislação trabalhista</t>
  </si>
  <si>
    <t>ci = custos indiretos</t>
  </si>
  <si>
    <t>ℓ = lucro</t>
  </si>
  <si>
    <t>t = tributos incidentes sobre o faturamento</t>
  </si>
  <si>
    <t>Valores Referenciais</t>
  </si>
  <si>
    <t>posto</t>
  </si>
  <si>
    <t>rem</t>
  </si>
  <si>
    <t>rem/hora</t>
  </si>
  <si>
    <t>13fa</t>
  </si>
  <si>
    <t>subtotal 1</t>
  </si>
  <si>
    <t>es</t>
  </si>
  <si>
    <t>subtotal 2</t>
  </si>
  <si>
    <t>ci, ℓ, t</t>
  </si>
  <si>
    <t>custo hora normal</t>
  </si>
  <si>
    <t>he dias úteis</t>
  </si>
  <si>
    <t>he dom-fer</t>
  </si>
  <si>
    <t>sábados</t>
  </si>
  <si>
    <t>domingos e feriados</t>
  </si>
  <si>
    <t>total horas extras</t>
  </si>
  <si>
    <t>Transporte (vt)</t>
  </si>
  <si>
    <t>valor unitário</t>
  </si>
  <si>
    <t>por dia</t>
  </si>
  <si>
    <t>custo vt/dia</t>
  </si>
  <si>
    <t>total vt com he</t>
  </si>
  <si>
    <t>Alimentação (va)</t>
  </si>
  <si>
    <t>custo va/dia</t>
  </si>
  <si>
    <t>total va com he</t>
  </si>
  <si>
    <t>Ano Eleitoral</t>
  </si>
  <si>
    <t>Resumo</t>
  </si>
  <si>
    <t>he</t>
  </si>
  <si>
    <t>vt</t>
  </si>
  <si>
    <t>va</t>
  </si>
  <si>
    <t>total</t>
  </si>
  <si>
    <t>Horas Extras - tópico 3.3 do Termo de Referência</t>
  </si>
  <si>
    <t>horas extras p/posto</t>
  </si>
  <si>
    <t>vt com he p/posto</t>
  </si>
  <si>
    <t>va com he p/posto</t>
  </si>
  <si>
    <t>quadro resumo - valor total estimado</t>
  </si>
  <si>
    <t>postos regulares - valor anual</t>
  </si>
  <si>
    <t>item</t>
  </si>
  <si>
    <t>especificação</t>
  </si>
  <si>
    <t>valor mensal unitário</t>
  </si>
  <si>
    <t>quantidade</t>
  </si>
  <si>
    <t>valor mensal</t>
  </si>
  <si>
    <t>valor anual</t>
  </si>
  <si>
    <t>acréscimo de postos em ano eleitoral</t>
  </si>
  <si>
    <t>total estimado da contratação</t>
  </si>
  <si>
    <t>ano não eleitoral</t>
  </si>
  <si>
    <t>ano eleitoral</t>
  </si>
  <si>
    <t>postos regulares</t>
  </si>
  <si>
    <t>acréscimo de postos</t>
  </si>
  <si>
    <t>horas extras</t>
  </si>
  <si>
    <t>total [A]</t>
  </si>
  <si>
    <t>total [B]</t>
  </si>
  <si>
    <t>valor total da contratação (para o prazo de 24 meses)</t>
  </si>
  <si>
    <t>[A] + [B] =</t>
  </si>
  <si>
    <t>Servente de Limpeza - insalubridade 20%</t>
  </si>
  <si>
    <t>Servente de Limpeza - insalubridade 40%</t>
  </si>
  <si>
    <t>Servente de Limpeza - insalubridade 20% - acréscimo temporário</t>
  </si>
  <si>
    <t>valor total
(3 meses)</t>
  </si>
  <si>
    <t>materiais</t>
  </si>
  <si>
    <t>Materiais - consumo ano eleitoral</t>
  </si>
  <si>
    <t>tipo</t>
  </si>
  <si>
    <t>descrição</t>
  </si>
  <si>
    <t>unidade de fornecimento</t>
  </si>
  <si>
    <t>valor total do item</t>
  </si>
  <si>
    <t>material</t>
  </si>
  <si>
    <t>total materiais</t>
  </si>
  <si>
    <t>custos indiretos, lucro e tributos</t>
  </si>
  <si>
    <t>total estimado</t>
  </si>
  <si>
    <t>Materiais - consumo ano não eleitoral</t>
  </si>
  <si>
    <t>Balde plástico com alça (capacidade de 10 litros)</t>
  </si>
  <si>
    <t>unidade</t>
  </si>
  <si>
    <t>Disco de limpeza para enceradeira – cor preta</t>
  </si>
  <si>
    <t>Disco de limpeza para enceradeira – cor vermelha</t>
  </si>
  <si>
    <t>Disco de limpeza para máquina lavadora e secadora de piso industrial</t>
  </si>
  <si>
    <t>Escova de nylon da máquina lavadora e secadora de piso industrial</t>
  </si>
  <si>
    <t>Flanela</t>
  </si>
  <si>
    <t>Jogo de lâminas para o rodo da máquina lavadora e secadora de piso industrial</t>
  </si>
  <si>
    <t>Luva de borracha própria para atividades insalubres (Médio/Grande)</t>
  </si>
  <si>
    <t>Pá para lixo com cabo longo</t>
  </si>
  <si>
    <t>Pano para chão</t>
  </si>
  <si>
    <t>Refil de MOP pó de 60 cm</t>
  </si>
  <si>
    <t>Rodo (cabo e base já fixados) 60 cm</t>
  </si>
  <si>
    <t>Rodo (cabo e base já fixados) 30 cm</t>
  </si>
  <si>
    <t>Vassoura de piaçava grande (com o cabo e a base já fixados) 60cm</t>
  </si>
  <si>
    <t>Terra vegetal</t>
  </si>
  <si>
    <t>quilograma</t>
  </si>
  <si>
    <t>Adubo</t>
  </si>
  <si>
    <t>Pesticida</t>
  </si>
  <si>
    <t>litro</t>
  </si>
  <si>
    <t>Uréia</t>
  </si>
  <si>
    <t>Húmus de minhoca</t>
  </si>
  <si>
    <t>saco</t>
  </si>
  <si>
    <t>Óleo de motor</t>
  </si>
  <si>
    <t>Nylon para roçadeira (2 ou 3mm)</t>
  </si>
  <si>
    <t>metro</t>
  </si>
  <si>
    <t>Água sanitária</t>
  </si>
  <si>
    <t>Álcool líquido</t>
  </si>
  <si>
    <t>Borrifador</t>
  </si>
  <si>
    <t>Cera auto brilho para tratamento de piso</t>
  </si>
  <si>
    <t>Desinfetante líquido germicida</t>
  </si>
  <si>
    <t>Desodorante para sanitário (desodor)</t>
  </si>
  <si>
    <t>Detergente líquido para lavar louças</t>
  </si>
  <si>
    <t>Detergente neutro concentrado</t>
  </si>
  <si>
    <t>Escova com cerdas de nylon</t>
  </si>
  <si>
    <t>Esponja de Aço</t>
  </si>
  <si>
    <t>pacote</t>
  </si>
  <si>
    <t>Esponja dupla face</t>
  </si>
  <si>
    <t>Estopa para polimento</t>
  </si>
  <si>
    <t>Inseticida spray (sem CFC – uso doméstico)</t>
  </si>
  <si>
    <t>Limpador multiuso</t>
  </si>
  <si>
    <t>Lustra móveis à base de carnaúba</t>
  </si>
  <si>
    <t>Palha de aço</t>
  </si>
  <si>
    <t>Papel higiênico de luxo (fardo com 64 rolos, agrupados em 04 de 40m cada, picotado, extra-macio, resistente, branco folha dupla, absorvente, alta qualidade, extra fino, liso neutro, sem perfume, 100% fibras celulósicas, não perecível</t>
  </si>
  <si>
    <t>fardo</t>
  </si>
  <si>
    <t>Papel toalha de luxo (fardo com 2.400 folhas cintadas de 250, branco, liso, macio, absorvente, dobrado para uso em porta- papel, formato 23x21cm, não perecível</t>
  </si>
  <si>
    <t>caixa</t>
  </si>
  <si>
    <t>Polidor de metais líquido</t>
  </si>
  <si>
    <t>Purificador de ar spray (sem CFC)</t>
  </si>
  <si>
    <t>Sabonete líquido concentrado</t>
  </si>
  <si>
    <t>Saco plástico preto resistente para lixo de 100 litros</t>
  </si>
  <si>
    <t>Saco plástico preto resistente para lixo de 200 litros</t>
  </si>
  <si>
    <t>Saco plástico preto resistente para lixo de 60 litros</t>
  </si>
  <si>
    <t>Saco plástico preto resistente para lixo de 300 litros</t>
  </si>
  <si>
    <t>Saco plástico azul resistente para lixo de 200 litros</t>
  </si>
  <si>
    <t>Vassoura de piaçava pequena (pia)</t>
  </si>
  <si>
    <t>Informação sobre estimativa da Administração</t>
  </si>
  <si>
    <r>
      <t xml:space="preserve">Informa-se que foi utilizada a seguinte Convenção Coletiva de Trabalho no cálculo do valor pela Administração, a qual </t>
    </r>
    <r>
      <rPr>
        <b/>
        <u/>
        <sz val="10"/>
        <color theme="1"/>
        <rFont val="Times New Roman"/>
        <family val="1"/>
      </rPr>
      <t>não</t>
    </r>
    <r>
      <rPr>
        <b/>
        <sz val="10"/>
        <color theme="1"/>
        <rFont val="Times New Roman"/>
        <family val="1"/>
      </rPr>
      <t xml:space="preserve"> será de uso obrigatório pelas licitantes:</t>
    </r>
  </si>
  <si>
    <t>Convenção Coletiva de Trabalho</t>
  </si>
  <si>
    <t xml:space="preserve">Número de Registro no MTE </t>
  </si>
  <si>
    <t>Data do Registro</t>
  </si>
  <si>
    <t>(sindicato patronal)</t>
  </si>
  <si>
    <t>(sindicato de empregados)</t>
  </si>
  <si>
    <t>2025/2026</t>
  </si>
  <si>
    <t>BA000326/2025</t>
  </si>
  <si>
    <t>SINDICATO DAS EMPRESAS DE SERVICOS E LIMPEZA AMBIENTAL DO ESTADO DA BAHIA - SEAC/BA, CNPJ n. 13.713.607/0001-60</t>
  </si>
  <si>
    <t>SIND DOS T DE LIMP U E DE EMP DE A E CONS DO M SALVADOR, CNPJ n. 33.568.809/0001-73</t>
  </si>
  <si>
    <t>par</t>
  </si>
  <si>
    <t>Sabão Gelatinoso Multiuso</t>
  </si>
  <si>
    <t>Outros (relógio de ponto)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</si>
</sst>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\-??_);_(@_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64"/>
      <name val="Calibri"/>
      <family val="2"/>
      <scheme val="minor"/>
    </font>
    <font>
      <sz val="10"/>
      <name val="Arial"/>
      <family val="2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sz val="12"/>
      <color theme="0"/>
      <name val="Times New Roman"/>
      <family val="1"/>
    </font>
    <font>
      <b/>
      <i/>
      <sz val="10"/>
      <color theme="1"/>
      <name val="Times New Roman"/>
      <family val="1"/>
    </font>
    <font>
      <b/>
      <sz val="12"/>
      <color theme="1"/>
      <name val="Times New Roman"/>
      <family val="1"/>
    </font>
    <font>
      <sz val="11"/>
      <color theme="1"/>
      <name val="Times New Roman"/>
      <family val="1"/>
    </font>
    <font>
      <b/>
      <sz val="9"/>
      <color theme="1"/>
      <name val="Times New Roman"/>
      <family val="1"/>
    </font>
    <font>
      <b/>
      <sz val="11"/>
      <color theme="1"/>
      <name val="Times New Roman"/>
      <family val="1"/>
    </font>
    <font>
      <b/>
      <sz val="10"/>
      <color theme="0"/>
      <name val="Times New Roman"/>
      <family val="1"/>
    </font>
    <font>
      <b/>
      <u/>
      <sz val="10"/>
      <color theme="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</borders>
  <cellStyleXfs count="13">
    <xf numFmtId="0" fontId="0" fillId="0" borderId="0"/>
    <xf numFmtId="0" fontId="2" fillId="0" borderId="0"/>
    <xf numFmtId="164" fontId="3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20">
    <xf numFmtId="0" fontId="0" fillId="0" borderId="0" xfId="0"/>
    <xf numFmtId="0" fontId="4" fillId="0" borderId="0" xfId="0" applyFont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1" xfId="0" applyFont="1" applyBorder="1"/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10" fontId="4" fillId="0" borderId="1" xfId="11" applyNumberFormat="1" applyFont="1" applyBorder="1" applyAlignment="1">
      <alignment horizontal="center" vertical="center" wrapText="1"/>
    </xf>
    <xf numFmtId="43" fontId="4" fillId="0" borderId="1" xfId="10" applyFont="1" applyBorder="1" applyAlignment="1">
      <alignment horizontal="center" vertical="center" wrapText="1"/>
    </xf>
    <xf numFmtId="43" fontId="4" fillId="0" borderId="1" xfId="0" applyNumberFormat="1" applyFont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10" fontId="4" fillId="2" borderId="1" xfId="11" applyNumberFormat="1" applyFont="1" applyFill="1" applyBorder="1" applyAlignment="1">
      <alignment horizontal="center" vertical="center" wrapText="1"/>
    </xf>
    <xf numFmtId="43" fontId="4" fillId="0" borderId="0" xfId="0" applyNumberFormat="1" applyFont="1"/>
    <xf numFmtId="10" fontId="4" fillId="0" borderId="0" xfId="11" applyNumberFormat="1" applyFont="1"/>
    <xf numFmtId="43" fontId="5" fillId="0" borderId="1" xfId="0" applyNumberFormat="1" applyFont="1" applyBorder="1" applyAlignment="1">
      <alignment horizontal="center" vertical="center" wrapText="1"/>
    </xf>
    <xf numFmtId="43" fontId="5" fillId="0" borderId="1" xfId="10" applyFont="1" applyBorder="1" applyAlignment="1">
      <alignment horizontal="center" vertical="center" wrapText="1"/>
    </xf>
    <xf numFmtId="10" fontId="7" fillId="0" borderId="3" xfId="11" applyNumberFormat="1" applyFont="1" applyBorder="1" applyAlignment="1">
      <alignment horizontal="center" vertical="center" wrapText="1"/>
    </xf>
    <xf numFmtId="43" fontId="4" fillId="0" borderId="1" xfId="0" applyNumberFormat="1" applyFont="1" applyBorder="1" applyAlignment="1">
      <alignment vertical="center" wrapText="1"/>
    </xf>
    <xf numFmtId="43" fontId="5" fillId="0" borderId="1" xfId="0" applyNumberFormat="1" applyFont="1" applyBorder="1" applyAlignment="1">
      <alignment vertical="center" wrapText="1"/>
    </xf>
    <xf numFmtId="43" fontId="4" fillId="0" borderId="1" xfId="1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6" fillId="0" borderId="0" xfId="0" applyFont="1" applyFill="1" applyAlignment="1">
      <alignment horizontal="center"/>
    </xf>
    <xf numFmtId="0" fontId="4" fillId="0" borderId="1" xfId="0" applyFont="1" applyBorder="1" applyAlignment="1">
      <alignment horizontal="left" vertical="center" wrapText="1"/>
    </xf>
    <xf numFmtId="10" fontId="5" fillId="0" borderId="3" xfId="0" applyNumberFormat="1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0" xfId="0" applyFont="1"/>
    <xf numFmtId="0" fontId="4" fillId="0" borderId="5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4" fillId="0" borderId="5" xfId="0" applyFont="1" applyBorder="1"/>
    <xf numFmtId="0" fontId="4" fillId="0" borderId="6" xfId="0" applyFont="1" applyBorder="1"/>
    <xf numFmtId="43" fontId="4" fillId="0" borderId="7" xfId="0" applyNumberFormat="1" applyFont="1" applyBorder="1"/>
    <xf numFmtId="10" fontId="4" fillId="0" borderId="6" xfId="0" applyNumberFormat="1" applyFont="1" applyBorder="1"/>
    <xf numFmtId="9" fontId="4" fillId="0" borderId="6" xfId="0" applyNumberFormat="1" applyFont="1" applyBorder="1"/>
    <xf numFmtId="9" fontId="4" fillId="0" borderId="0" xfId="0" applyNumberFormat="1" applyFont="1"/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/>
    <xf numFmtId="0" fontId="4" fillId="0" borderId="8" xfId="0" applyFont="1" applyBorder="1" applyAlignment="1">
      <alignment horizontal="left" vertical="center" wrapText="1"/>
    </xf>
    <xf numFmtId="0" fontId="4" fillId="0" borderId="8" xfId="0" applyFont="1" applyBorder="1"/>
    <xf numFmtId="43" fontId="4" fillId="0" borderId="9" xfId="0" applyNumberFormat="1" applyFont="1" applyBorder="1"/>
    <xf numFmtId="0" fontId="4" fillId="0" borderId="9" xfId="0" applyFont="1" applyBorder="1"/>
    <xf numFmtId="0" fontId="4" fillId="0" borderId="10" xfId="0" applyFont="1" applyBorder="1"/>
    <xf numFmtId="0" fontId="4" fillId="0" borderId="0" xfId="0" applyFont="1" applyBorder="1"/>
    <xf numFmtId="43" fontId="4" fillId="0" borderId="7" xfId="0" applyNumberFormat="1" applyFont="1" applyBorder="1" applyAlignment="1">
      <alignment shrinkToFit="1"/>
    </xf>
    <xf numFmtId="0" fontId="5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4" fillId="0" borderId="5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4" fillId="0" borderId="5" xfId="0" applyFont="1" applyBorder="1" applyAlignment="1">
      <alignment vertical="top"/>
    </xf>
    <xf numFmtId="0" fontId="4" fillId="0" borderId="5" xfId="0" applyFont="1" applyBorder="1" applyAlignment="1">
      <alignment vertical="top" wrapText="1"/>
    </xf>
    <xf numFmtId="43" fontId="4" fillId="0" borderId="5" xfId="0" applyNumberFormat="1" applyFont="1" applyBorder="1" applyAlignment="1">
      <alignment vertical="top"/>
    </xf>
    <xf numFmtId="0" fontId="4" fillId="0" borderId="0" xfId="0" applyFont="1" applyAlignment="1">
      <alignment horizontal="center" vertical="top"/>
    </xf>
    <xf numFmtId="0" fontId="4" fillId="0" borderId="6" xfId="0" applyFont="1" applyBorder="1" applyAlignment="1">
      <alignment vertical="top"/>
    </xf>
    <xf numFmtId="0" fontId="4" fillId="0" borderId="11" xfId="0" applyFont="1" applyBorder="1" applyAlignment="1">
      <alignment vertical="top"/>
    </xf>
    <xf numFmtId="0" fontId="5" fillId="0" borderId="6" xfId="0" applyFont="1" applyBorder="1" applyAlignment="1">
      <alignment vertical="top"/>
    </xf>
    <xf numFmtId="0" fontId="5" fillId="0" borderId="11" xfId="0" applyFont="1" applyBorder="1" applyAlignment="1">
      <alignment vertical="top"/>
    </xf>
    <xf numFmtId="0" fontId="5" fillId="0" borderId="7" xfId="0" applyFont="1" applyBorder="1" applyAlignment="1">
      <alignment vertical="top"/>
    </xf>
    <xf numFmtId="0" fontId="5" fillId="0" borderId="5" xfId="0" applyFont="1" applyBorder="1" applyAlignment="1">
      <alignment horizontal="center" vertical="top"/>
    </xf>
    <xf numFmtId="43" fontId="5" fillId="0" borderId="5" xfId="0" applyNumberFormat="1" applyFont="1" applyBorder="1" applyAlignment="1">
      <alignment vertical="top"/>
    </xf>
    <xf numFmtId="0" fontId="9" fillId="0" borderId="0" xfId="0" applyFont="1"/>
    <xf numFmtId="0" fontId="10" fillId="6" borderId="5" xfId="0" applyFont="1" applyFill="1" applyBorder="1" applyAlignment="1">
      <alignment horizontal="center" vertical="center" wrapText="1"/>
    </xf>
    <xf numFmtId="3" fontId="10" fillId="6" borderId="5" xfId="0" applyNumberFormat="1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top"/>
    </xf>
    <xf numFmtId="0" fontId="9" fillId="0" borderId="5" xfId="0" applyFont="1" applyBorder="1" applyAlignment="1">
      <alignment horizontal="left" vertical="top" wrapText="1"/>
    </xf>
    <xf numFmtId="3" fontId="9" fillId="0" borderId="5" xfId="0" applyNumberFormat="1" applyFont="1" applyBorder="1" applyAlignment="1">
      <alignment horizontal="center" vertical="top"/>
    </xf>
    <xf numFmtId="44" fontId="9" fillId="0" borderId="5" xfId="12" applyFont="1" applyBorder="1" applyAlignment="1">
      <alignment vertical="top"/>
    </xf>
    <xf numFmtId="0" fontId="9" fillId="0" borderId="0" xfId="0" applyFont="1" applyAlignment="1">
      <alignment wrapText="1"/>
    </xf>
    <xf numFmtId="3" fontId="9" fillId="0" borderId="0" xfId="0" applyNumberFormat="1" applyFont="1"/>
    <xf numFmtId="0" fontId="11" fillId="6" borderId="13" xfId="0" applyFont="1" applyFill="1" applyBorder="1"/>
    <xf numFmtId="3" fontId="11" fillId="6" borderId="14" xfId="0" applyNumberFormat="1" applyFont="1" applyFill="1" applyBorder="1" applyAlignment="1">
      <alignment horizontal="right"/>
    </xf>
    <xf numFmtId="44" fontId="11" fillId="6" borderId="15" xfId="12" applyFont="1" applyFill="1" applyBorder="1" applyAlignment="1">
      <alignment shrinkToFit="1"/>
    </xf>
    <xf numFmtId="44" fontId="9" fillId="0" borderId="0" xfId="12" applyFont="1"/>
    <xf numFmtId="0" fontId="11" fillId="0" borderId="0" xfId="0" applyFont="1" applyFill="1" applyBorder="1" applyAlignment="1">
      <alignment horizontal="right"/>
    </xf>
    <xf numFmtId="10" fontId="11" fillId="6" borderId="5" xfId="11" applyNumberFormat="1" applyFont="1" applyFill="1" applyBorder="1" applyAlignment="1">
      <alignment horizontal="center"/>
    </xf>
    <xf numFmtId="44" fontId="11" fillId="6" borderId="7" xfId="12" applyFont="1" applyFill="1" applyBorder="1" applyAlignment="1">
      <alignment horizontal="center"/>
    </xf>
    <xf numFmtId="0" fontId="4" fillId="6" borderId="1" xfId="0" applyFont="1" applyFill="1" applyBorder="1"/>
    <xf numFmtId="0" fontId="4" fillId="6" borderId="2" xfId="0" applyFont="1" applyFill="1" applyBorder="1"/>
    <xf numFmtId="0" fontId="4" fillId="6" borderId="3" xfId="0" applyFont="1" applyFill="1" applyBorder="1" applyAlignment="1"/>
    <xf numFmtId="0" fontId="4" fillId="6" borderId="1" xfId="0" applyFont="1" applyFill="1" applyBorder="1" applyAlignment="1">
      <alignment horizontal="center"/>
    </xf>
    <xf numFmtId="14" fontId="4" fillId="6" borderId="1" xfId="0" applyNumberFormat="1" applyFont="1" applyFill="1" applyBorder="1" applyAlignment="1">
      <alignment horizont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2" fillId="5" borderId="0" xfId="0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top" shrinkToFit="1"/>
    </xf>
    <xf numFmtId="0" fontId="5" fillId="6" borderId="4" xfId="0" applyFont="1" applyFill="1" applyBorder="1" applyAlignment="1">
      <alignment horizontal="center" vertical="top" shrinkToFit="1"/>
    </xf>
    <xf numFmtId="0" fontId="5" fillId="6" borderId="3" xfId="0" applyFont="1" applyFill="1" applyBorder="1" applyAlignment="1">
      <alignment horizontal="center" vertical="top" shrinkToFit="1"/>
    </xf>
    <xf numFmtId="0" fontId="4" fillId="6" borderId="2" xfId="0" applyFont="1" applyFill="1" applyBorder="1" applyAlignment="1">
      <alignment shrinkToFit="1"/>
    </xf>
    <xf numFmtId="0" fontId="4" fillId="6" borderId="3" xfId="0" applyFont="1" applyFill="1" applyBorder="1" applyAlignment="1">
      <alignment shrinkToFit="1"/>
    </xf>
    <xf numFmtId="0" fontId="5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2" fontId="4" fillId="0" borderId="2" xfId="0" applyNumberFormat="1" applyFont="1" applyBorder="1" applyAlignment="1">
      <alignment horizontal="center"/>
    </xf>
    <xf numFmtId="2" fontId="4" fillId="0" borderId="3" xfId="0" applyNumberFormat="1" applyFont="1" applyBorder="1" applyAlignment="1">
      <alignment horizontal="center"/>
    </xf>
    <xf numFmtId="0" fontId="5" fillId="5" borderId="0" xfId="0" applyFont="1" applyFill="1" applyBorder="1" applyAlignment="1">
      <alignment horizontal="center" vertical="center"/>
    </xf>
    <xf numFmtId="0" fontId="5" fillId="5" borderId="0" xfId="0" applyFont="1" applyFill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6" fillId="4" borderId="0" xfId="0" applyFont="1" applyFill="1" applyAlignment="1">
      <alignment horizontal="center"/>
    </xf>
    <xf numFmtId="0" fontId="5" fillId="3" borderId="0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0" fontId="4" fillId="0" borderId="6" xfId="0" applyNumberFormat="1" applyFont="1" applyBorder="1" applyAlignment="1">
      <alignment horizontal="center" vertical="center" wrapText="1"/>
    </xf>
  </cellXfs>
  <cellStyles count="13">
    <cellStyle name="Moeda" xfId="12" builtinId="4"/>
    <cellStyle name="Normal" xfId="0" builtinId="0"/>
    <cellStyle name="Normal 2" xfId="1"/>
    <cellStyle name="Porcentagem" xfId="11" builtinId="5"/>
    <cellStyle name="Vírgula" xfId="10" builtinId="3"/>
    <cellStyle name="Vírgula 2" xfId="2"/>
    <cellStyle name="Vírgula 3" xfId="3"/>
    <cellStyle name="Vírgula 3 2" xfId="4"/>
    <cellStyle name="Vírgula 4" xfId="5"/>
    <cellStyle name="Vírgula 4 2" xfId="6"/>
    <cellStyle name="Vírgula 5" xfId="7"/>
    <cellStyle name="Vírgula 5 2" xfId="8"/>
    <cellStyle name="Vírgula 6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60"/>
  <sheetViews>
    <sheetView topLeftCell="A56" zoomScale="115" zoomScaleNormal="115" workbookViewId="0">
      <selection activeCell="D130" sqref="D130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113" t="s">
        <v>0</v>
      </c>
      <c r="B1" s="113"/>
      <c r="C1" s="113"/>
      <c r="D1" s="113"/>
    </row>
    <row r="2" spans="1:4" ht="15.75" x14ac:dyDescent="0.25">
      <c r="A2" s="26"/>
      <c r="B2" s="26"/>
      <c r="C2" s="26"/>
      <c r="D2" s="26"/>
    </row>
    <row r="3" spans="1:4" x14ac:dyDescent="0.2">
      <c r="A3" s="90" t="s">
        <v>255</v>
      </c>
      <c r="B3" s="90"/>
      <c r="C3" s="90"/>
      <c r="D3" s="90"/>
    </row>
    <row r="4" spans="1:4" x14ac:dyDescent="0.2">
      <c r="A4" s="2"/>
      <c r="B4" s="2"/>
      <c r="C4" s="2"/>
      <c r="D4" s="2"/>
    </row>
    <row r="5" spans="1:4" x14ac:dyDescent="0.2">
      <c r="A5" s="91" t="s">
        <v>256</v>
      </c>
      <c r="B5" s="92"/>
      <c r="C5" s="92"/>
      <c r="D5" s="93"/>
    </row>
    <row r="6" spans="1:4" x14ac:dyDescent="0.2">
      <c r="A6" s="83" t="s">
        <v>4</v>
      </c>
      <c r="B6" s="84" t="s">
        <v>257</v>
      </c>
      <c r="C6" s="85"/>
      <c r="D6" s="86" t="s">
        <v>262</v>
      </c>
    </row>
    <row r="7" spans="1:4" x14ac:dyDescent="0.2">
      <c r="A7" s="83" t="s">
        <v>6</v>
      </c>
      <c r="B7" s="84" t="s">
        <v>258</v>
      </c>
      <c r="C7" s="85"/>
      <c r="D7" s="86" t="s">
        <v>263</v>
      </c>
    </row>
    <row r="8" spans="1:4" x14ac:dyDescent="0.2">
      <c r="A8" s="83" t="s">
        <v>8</v>
      </c>
      <c r="B8" s="84" t="s">
        <v>259</v>
      </c>
      <c r="C8" s="85"/>
      <c r="D8" s="87">
        <v>45785</v>
      </c>
    </row>
    <row r="9" spans="1:4" x14ac:dyDescent="0.2">
      <c r="A9" s="83" t="s">
        <v>10</v>
      </c>
      <c r="B9" s="94" t="s">
        <v>264</v>
      </c>
      <c r="C9" s="95"/>
      <c r="D9" s="86" t="s">
        <v>260</v>
      </c>
    </row>
    <row r="10" spans="1:4" x14ac:dyDescent="0.2">
      <c r="A10" s="83" t="s">
        <v>12</v>
      </c>
      <c r="B10" s="94" t="s">
        <v>265</v>
      </c>
      <c r="C10" s="95"/>
      <c r="D10" s="86" t="s">
        <v>261</v>
      </c>
    </row>
    <row r="12" spans="1:4" x14ac:dyDescent="0.2">
      <c r="A12" s="103" t="s">
        <v>88</v>
      </c>
      <c r="B12" s="103"/>
      <c r="C12" s="103"/>
      <c r="D12" s="103"/>
    </row>
    <row r="13" spans="1:4" x14ac:dyDescent="0.2">
      <c r="A13" s="2"/>
      <c r="B13" s="2"/>
      <c r="C13" s="2"/>
      <c r="D13" s="2"/>
    </row>
    <row r="14" spans="1:4" ht="38.25" x14ac:dyDescent="0.2">
      <c r="A14" s="115" t="s">
        <v>89</v>
      </c>
      <c r="B14" s="115"/>
      <c r="C14" s="7" t="s">
        <v>90</v>
      </c>
      <c r="D14" s="27" t="s">
        <v>91</v>
      </c>
    </row>
    <row r="15" spans="1:4" x14ac:dyDescent="0.2">
      <c r="A15" s="96" t="s">
        <v>100</v>
      </c>
      <c r="B15" s="96"/>
      <c r="C15" s="33" t="s">
        <v>101</v>
      </c>
      <c r="D15" s="33">
        <v>1</v>
      </c>
    </row>
    <row r="17" spans="1:4" x14ac:dyDescent="0.2">
      <c r="A17" s="103" t="s">
        <v>72</v>
      </c>
      <c r="B17" s="103"/>
      <c r="C17" s="103"/>
      <c r="D17" s="103"/>
    </row>
    <row r="18" spans="1:4" x14ac:dyDescent="0.2">
      <c r="A18" s="2"/>
      <c r="B18" s="2"/>
      <c r="C18" s="2"/>
      <c r="D18" s="2"/>
    </row>
    <row r="19" spans="1:4" x14ac:dyDescent="0.2">
      <c r="A19" s="5">
        <v>1</v>
      </c>
      <c r="B19" s="5" t="s">
        <v>73</v>
      </c>
      <c r="C19" s="97" t="s">
        <v>100</v>
      </c>
      <c r="D19" s="98"/>
    </row>
    <row r="20" spans="1:4" x14ac:dyDescent="0.2">
      <c r="A20" s="5">
        <v>2</v>
      </c>
      <c r="B20" s="5" t="s">
        <v>92</v>
      </c>
      <c r="C20" s="97" t="s">
        <v>102</v>
      </c>
      <c r="D20" s="98"/>
    </row>
    <row r="21" spans="1:4" x14ac:dyDescent="0.2">
      <c r="A21" s="5">
        <v>3</v>
      </c>
      <c r="B21" s="5" t="s">
        <v>74</v>
      </c>
      <c r="C21" s="101">
        <v>1530</v>
      </c>
      <c r="D21" s="102"/>
    </row>
    <row r="22" spans="1:4" x14ac:dyDescent="0.2">
      <c r="A22" s="5">
        <v>4</v>
      </c>
      <c r="B22" s="5" t="s">
        <v>75</v>
      </c>
      <c r="C22" s="97"/>
      <c r="D22" s="98"/>
    </row>
    <row r="23" spans="1:4" x14ac:dyDescent="0.2">
      <c r="A23" s="5">
        <v>5</v>
      </c>
      <c r="B23" s="5" t="s">
        <v>76</v>
      </c>
      <c r="C23" s="97"/>
      <c r="D23" s="98"/>
    </row>
    <row r="25" spans="1:4" x14ac:dyDescent="0.2">
      <c r="A25" s="103" t="s">
        <v>1</v>
      </c>
      <c r="B25" s="103"/>
      <c r="C25" s="103"/>
      <c r="D25" s="103"/>
    </row>
    <row r="27" spans="1:4" x14ac:dyDescent="0.2">
      <c r="A27" s="6">
        <v>1</v>
      </c>
      <c r="B27" s="99" t="s">
        <v>2</v>
      </c>
      <c r="C27" s="99"/>
      <c r="D27" s="6" t="s">
        <v>3</v>
      </c>
    </row>
    <row r="28" spans="1:4" x14ac:dyDescent="0.2">
      <c r="A28" s="7" t="s">
        <v>4</v>
      </c>
      <c r="B28" s="100" t="s">
        <v>5</v>
      </c>
      <c r="C28" s="100"/>
      <c r="D28" s="13">
        <v>1530</v>
      </c>
    </row>
    <row r="29" spans="1:4" x14ac:dyDescent="0.2">
      <c r="A29" s="7" t="s">
        <v>6</v>
      </c>
      <c r="B29" s="100" t="s">
        <v>7</v>
      </c>
      <c r="C29" s="100"/>
      <c r="D29" s="13"/>
    </row>
    <row r="30" spans="1:4" x14ac:dyDescent="0.2">
      <c r="A30" s="7" t="s">
        <v>8</v>
      </c>
      <c r="B30" s="100" t="s">
        <v>9</v>
      </c>
      <c r="C30" s="100"/>
      <c r="D30" s="13"/>
    </row>
    <row r="31" spans="1:4" x14ac:dyDescent="0.2">
      <c r="A31" s="7" t="s">
        <v>10</v>
      </c>
      <c r="B31" s="100" t="s">
        <v>11</v>
      </c>
      <c r="C31" s="100"/>
      <c r="D31" s="13"/>
    </row>
    <row r="32" spans="1:4" x14ac:dyDescent="0.2">
      <c r="A32" s="7" t="s">
        <v>12</v>
      </c>
      <c r="B32" s="100" t="s">
        <v>13</v>
      </c>
      <c r="C32" s="100"/>
      <c r="D32" s="13"/>
    </row>
    <row r="33" spans="1:4" x14ac:dyDescent="0.2">
      <c r="A33" s="7"/>
      <c r="B33" s="100"/>
      <c r="C33" s="100"/>
      <c r="D33" s="13"/>
    </row>
    <row r="34" spans="1:4" x14ac:dyDescent="0.2">
      <c r="A34" s="7" t="s">
        <v>14</v>
      </c>
      <c r="B34" s="100" t="s">
        <v>15</v>
      </c>
      <c r="C34" s="100"/>
      <c r="D34" s="13"/>
    </row>
    <row r="35" spans="1:4" x14ac:dyDescent="0.2">
      <c r="A35" s="99" t="s">
        <v>16</v>
      </c>
      <c r="B35" s="99"/>
      <c r="C35" s="99"/>
      <c r="D35" s="20">
        <f>SUM(D28:D34)</f>
        <v>1530</v>
      </c>
    </row>
    <row r="38" spans="1:4" x14ac:dyDescent="0.2">
      <c r="A38" s="104" t="s">
        <v>17</v>
      </c>
      <c r="B38" s="104"/>
      <c r="C38" s="104"/>
      <c r="D38" s="104"/>
    </row>
    <row r="39" spans="1:4" x14ac:dyDescent="0.2">
      <c r="A39" s="3"/>
    </row>
    <row r="40" spans="1:4" x14ac:dyDescent="0.2">
      <c r="A40" s="111" t="s">
        <v>18</v>
      </c>
      <c r="B40" s="111"/>
      <c r="C40" s="111"/>
      <c r="D40" s="111"/>
    </row>
    <row r="42" spans="1:4" x14ac:dyDescent="0.2">
      <c r="A42" s="6" t="s">
        <v>19</v>
      </c>
      <c r="B42" s="99" t="s">
        <v>20</v>
      </c>
      <c r="C42" s="99"/>
      <c r="D42" s="6" t="s">
        <v>3</v>
      </c>
    </row>
    <row r="43" spans="1:4" x14ac:dyDescent="0.2">
      <c r="A43" s="7" t="s">
        <v>4</v>
      </c>
      <c r="B43" s="8" t="s">
        <v>21</v>
      </c>
      <c r="C43" s="12">
        <f>TRUNC(1/12,4)</f>
        <v>8.3299999999999999E-2</v>
      </c>
      <c r="D43" s="13">
        <f>TRUNC($D$35*C43,2)</f>
        <v>127.44</v>
      </c>
    </row>
    <row r="44" spans="1:4" x14ac:dyDescent="0.2">
      <c r="A44" s="7" t="s">
        <v>6</v>
      </c>
      <c r="B44" s="8" t="s">
        <v>22</v>
      </c>
      <c r="C44" s="12">
        <f>TRUNC(((1+1/3)/12),4)</f>
        <v>0.1111</v>
      </c>
      <c r="D44" s="13">
        <f>TRUNC($D$35*C44,2)</f>
        <v>169.98</v>
      </c>
    </row>
    <row r="45" spans="1:4" x14ac:dyDescent="0.2">
      <c r="A45" s="99" t="s">
        <v>16</v>
      </c>
      <c r="B45" s="99"/>
      <c r="C45" s="28">
        <f>SUM(C43:C44)</f>
        <v>0.19440000000000002</v>
      </c>
      <c r="D45" s="19">
        <f>SUM(D43:D44)</f>
        <v>297.41999999999996</v>
      </c>
    </row>
    <row r="48" spans="1:4" x14ac:dyDescent="0.2">
      <c r="A48" s="114" t="s">
        <v>23</v>
      </c>
      <c r="B48" s="114"/>
      <c r="C48" s="114"/>
      <c r="D48" s="114"/>
    </row>
    <row r="50" spans="1:4" x14ac:dyDescent="0.2">
      <c r="A50" s="6" t="s">
        <v>24</v>
      </c>
      <c r="B50" s="6" t="s">
        <v>25</v>
      </c>
      <c r="C50" s="6" t="s">
        <v>26</v>
      </c>
      <c r="D50" s="6" t="s">
        <v>3</v>
      </c>
    </row>
    <row r="51" spans="1:4" x14ac:dyDescent="0.2">
      <c r="A51" s="7" t="s">
        <v>4</v>
      </c>
      <c r="B51" s="8" t="s">
        <v>27</v>
      </c>
      <c r="C51" s="9">
        <v>0.2</v>
      </c>
      <c r="D51" s="13">
        <f>TRUNC(($D$35+$D$45)*C51,2)</f>
        <v>365.48</v>
      </c>
    </row>
    <row r="52" spans="1:4" x14ac:dyDescent="0.2">
      <c r="A52" s="7" t="s">
        <v>6</v>
      </c>
      <c r="B52" s="8" t="s">
        <v>28</v>
      </c>
      <c r="C52" s="9">
        <v>2.5000000000000001E-2</v>
      </c>
      <c r="D52" s="13">
        <f t="shared" ref="D52:D58" si="0">TRUNC(($D$35+$D$45)*C52,2)</f>
        <v>45.68</v>
      </c>
    </row>
    <row r="53" spans="1:4" x14ac:dyDescent="0.2">
      <c r="A53" s="7" t="s">
        <v>8</v>
      </c>
      <c r="B53" s="8" t="s">
        <v>29</v>
      </c>
      <c r="C53" s="16">
        <v>0.03</v>
      </c>
      <c r="D53" s="13">
        <f t="shared" si="0"/>
        <v>54.82</v>
      </c>
    </row>
    <row r="54" spans="1:4" x14ac:dyDescent="0.2">
      <c r="A54" s="7" t="s">
        <v>10</v>
      </c>
      <c r="B54" s="8" t="s">
        <v>30</v>
      </c>
      <c r="C54" s="9">
        <v>1.4999999999999999E-2</v>
      </c>
      <c r="D54" s="13">
        <f t="shared" si="0"/>
        <v>27.41</v>
      </c>
    </row>
    <row r="55" spans="1:4" x14ac:dyDescent="0.2">
      <c r="A55" s="7" t="s">
        <v>12</v>
      </c>
      <c r="B55" s="8" t="s">
        <v>31</v>
      </c>
      <c r="C55" s="9">
        <v>0.01</v>
      </c>
      <c r="D55" s="13">
        <f t="shared" si="0"/>
        <v>18.27</v>
      </c>
    </row>
    <row r="56" spans="1:4" x14ac:dyDescent="0.2">
      <c r="A56" s="7" t="s">
        <v>32</v>
      </c>
      <c r="B56" s="8" t="s">
        <v>33</v>
      </c>
      <c r="C56" s="9">
        <v>6.0000000000000001E-3</v>
      </c>
      <c r="D56" s="13">
        <f t="shared" si="0"/>
        <v>10.96</v>
      </c>
    </row>
    <row r="57" spans="1:4" x14ac:dyDescent="0.2">
      <c r="A57" s="7" t="s">
        <v>14</v>
      </c>
      <c r="B57" s="8" t="s">
        <v>34</v>
      </c>
      <c r="C57" s="9">
        <v>2E-3</v>
      </c>
      <c r="D57" s="13">
        <f t="shared" si="0"/>
        <v>3.65</v>
      </c>
    </row>
    <row r="58" spans="1:4" x14ac:dyDescent="0.2">
      <c r="A58" s="7" t="s">
        <v>35</v>
      </c>
      <c r="B58" s="8" t="s">
        <v>36</v>
      </c>
      <c r="C58" s="9">
        <v>0.08</v>
      </c>
      <c r="D58" s="13">
        <f t="shared" si="0"/>
        <v>146.19</v>
      </c>
    </row>
    <row r="59" spans="1:4" x14ac:dyDescent="0.2">
      <c r="A59" s="99" t="s">
        <v>37</v>
      </c>
      <c r="B59" s="99"/>
      <c r="C59" s="15">
        <f>SUM(C51:C58)</f>
        <v>0.36800000000000005</v>
      </c>
      <c r="D59" s="19">
        <f>SUM(D51:D58)</f>
        <v>672.46</v>
      </c>
    </row>
    <row r="62" spans="1:4" x14ac:dyDescent="0.2">
      <c r="A62" s="111" t="s">
        <v>38</v>
      </c>
      <c r="B62" s="111"/>
      <c r="C62" s="111"/>
      <c r="D62" s="111"/>
    </row>
    <row r="64" spans="1:4" x14ac:dyDescent="0.2">
      <c r="A64" s="6" t="s">
        <v>39</v>
      </c>
      <c r="B64" s="110" t="s">
        <v>40</v>
      </c>
      <c r="C64" s="110"/>
      <c r="D64" s="6" t="s">
        <v>3</v>
      </c>
    </row>
    <row r="65" spans="1:5" x14ac:dyDescent="0.2">
      <c r="A65" s="7" t="s">
        <v>4</v>
      </c>
      <c r="B65" s="100" t="s">
        <v>41</v>
      </c>
      <c r="C65" s="100"/>
      <c r="D65" s="13">
        <f>IF((22*2*5.6)-(D28*0.06)&gt;0,(22*2*5.6)-(D28*0.06),0)</f>
        <v>154.59999999999997</v>
      </c>
    </row>
    <row r="66" spans="1:5" x14ac:dyDescent="0.2">
      <c r="A66" s="7" t="s">
        <v>6</v>
      </c>
      <c r="B66" s="100" t="s">
        <v>42</v>
      </c>
      <c r="C66" s="100"/>
      <c r="D66" s="13">
        <f>20*0.8*22</f>
        <v>352</v>
      </c>
    </row>
    <row r="67" spans="1:5" x14ac:dyDescent="0.2">
      <c r="A67" s="7" t="s">
        <v>8</v>
      </c>
      <c r="B67" s="100" t="s">
        <v>103</v>
      </c>
      <c r="C67" s="100"/>
      <c r="D67" s="13">
        <v>280</v>
      </c>
    </row>
    <row r="68" spans="1:5" x14ac:dyDescent="0.2">
      <c r="A68" s="32" t="s">
        <v>10</v>
      </c>
      <c r="B68" s="100" t="s">
        <v>104</v>
      </c>
      <c r="C68" s="100"/>
      <c r="D68" s="13">
        <v>23</v>
      </c>
    </row>
    <row r="69" spans="1:5" x14ac:dyDescent="0.2">
      <c r="A69" s="7" t="s">
        <v>12</v>
      </c>
      <c r="B69" s="100" t="s">
        <v>105</v>
      </c>
      <c r="C69" s="100"/>
      <c r="D69" s="13">
        <v>4.8</v>
      </c>
    </row>
    <row r="70" spans="1:5" x14ac:dyDescent="0.2">
      <c r="A70" s="99" t="s">
        <v>16</v>
      </c>
      <c r="B70" s="99"/>
      <c r="C70" s="99"/>
      <c r="D70" s="19">
        <f>SUM(D65:D69)</f>
        <v>814.39999999999986</v>
      </c>
    </row>
    <row r="71" spans="1:5" x14ac:dyDescent="0.2">
      <c r="E71" s="18"/>
    </row>
    <row r="73" spans="1:5" x14ac:dyDescent="0.2">
      <c r="A73" s="111" t="s">
        <v>43</v>
      </c>
      <c r="B73" s="111"/>
      <c r="C73" s="111"/>
      <c r="D73" s="111"/>
      <c r="E73" s="17"/>
    </row>
    <row r="74" spans="1:5" ht="12.75" customHeight="1" x14ac:dyDescent="0.2">
      <c r="E74" s="18"/>
    </row>
    <row r="75" spans="1:5" x14ac:dyDescent="0.2">
      <c r="A75" s="6">
        <v>2</v>
      </c>
      <c r="B75" s="110" t="s">
        <v>44</v>
      </c>
      <c r="C75" s="110"/>
      <c r="D75" s="6" t="s">
        <v>3</v>
      </c>
    </row>
    <row r="76" spans="1:5" x14ac:dyDescent="0.2">
      <c r="A76" s="7" t="s">
        <v>19</v>
      </c>
      <c r="B76" s="100" t="s">
        <v>20</v>
      </c>
      <c r="C76" s="100"/>
      <c r="D76" s="14">
        <f>D45</f>
        <v>297.41999999999996</v>
      </c>
    </row>
    <row r="77" spans="1:5" x14ac:dyDescent="0.2">
      <c r="A77" s="7" t="s">
        <v>24</v>
      </c>
      <c r="B77" s="100" t="s">
        <v>25</v>
      </c>
      <c r="C77" s="100"/>
      <c r="D77" s="14">
        <f>D59</f>
        <v>672.46</v>
      </c>
    </row>
    <row r="78" spans="1:5" x14ac:dyDescent="0.2">
      <c r="A78" s="7" t="s">
        <v>39</v>
      </c>
      <c r="B78" s="100" t="s">
        <v>40</v>
      </c>
      <c r="C78" s="100"/>
      <c r="D78" s="14">
        <f>D70</f>
        <v>814.39999999999986</v>
      </c>
    </row>
    <row r="79" spans="1:5" x14ac:dyDescent="0.2">
      <c r="A79" s="99" t="s">
        <v>16</v>
      </c>
      <c r="B79" s="99"/>
      <c r="C79" s="99"/>
      <c r="D79" s="19">
        <f>SUM(D76:D78)</f>
        <v>1784.2799999999997</v>
      </c>
    </row>
    <row r="80" spans="1:5" x14ac:dyDescent="0.2">
      <c r="A80" s="4"/>
    </row>
    <row r="82" spans="1:4" x14ac:dyDescent="0.2">
      <c r="A82" s="104" t="s">
        <v>45</v>
      </c>
      <c r="B82" s="104"/>
      <c r="C82" s="104"/>
      <c r="D82" s="104"/>
    </row>
    <row r="84" spans="1:4" x14ac:dyDescent="0.2">
      <c r="A84" s="6">
        <v>3</v>
      </c>
      <c r="B84" s="110" t="s">
        <v>46</v>
      </c>
      <c r="C84" s="110"/>
      <c r="D84" s="6" t="s">
        <v>3</v>
      </c>
    </row>
    <row r="85" spans="1:4" x14ac:dyDescent="0.2">
      <c r="A85" s="7" t="s">
        <v>4</v>
      </c>
      <c r="B85" s="10" t="s">
        <v>47</v>
      </c>
      <c r="C85" s="9">
        <f>TRUNC(((1/12)*5%),4)</f>
        <v>4.1000000000000003E-3</v>
      </c>
      <c r="D85" s="13">
        <f>TRUNC($D$35*C85,2)</f>
        <v>6.27</v>
      </c>
    </row>
    <row r="86" spans="1:4" x14ac:dyDescent="0.2">
      <c r="A86" s="7" t="s">
        <v>6</v>
      </c>
      <c r="B86" s="10" t="s">
        <v>48</v>
      </c>
      <c r="C86" s="9">
        <v>0.08</v>
      </c>
      <c r="D86" s="13">
        <f>TRUNC(D85*C86,2)</f>
        <v>0.5</v>
      </c>
    </row>
    <row r="87" spans="1:4" x14ac:dyDescent="0.2">
      <c r="A87" s="7" t="s">
        <v>8</v>
      </c>
      <c r="B87" s="10" t="s">
        <v>98</v>
      </c>
      <c r="C87" s="9">
        <f>TRUNC(8%*5%*40%,4)</f>
        <v>1.6000000000000001E-3</v>
      </c>
      <c r="D87" s="13">
        <f>TRUNC($D$35*C87,2)</f>
        <v>2.44</v>
      </c>
    </row>
    <row r="88" spans="1:4" x14ac:dyDescent="0.2">
      <c r="A88" s="7" t="s">
        <v>10</v>
      </c>
      <c r="B88" s="10" t="s">
        <v>49</v>
      </c>
      <c r="C88" s="9">
        <f>TRUNC(((7/30)/12)*95%,4)</f>
        <v>1.84E-2</v>
      </c>
      <c r="D88" s="13">
        <f>TRUNC($D$35*C88,2)</f>
        <v>28.15</v>
      </c>
    </row>
    <row r="89" spans="1:4" ht="25.5" x14ac:dyDescent="0.2">
      <c r="A89" s="7" t="s">
        <v>12</v>
      </c>
      <c r="B89" s="10" t="s">
        <v>93</v>
      </c>
      <c r="C89" s="9">
        <f>C59</f>
        <v>0.36800000000000005</v>
      </c>
      <c r="D89" s="13">
        <f>TRUNC(D88*C89,2)</f>
        <v>10.35</v>
      </c>
    </row>
    <row r="90" spans="1:4" x14ac:dyDescent="0.2">
      <c r="A90" s="7" t="s">
        <v>32</v>
      </c>
      <c r="B90" s="10" t="s">
        <v>99</v>
      </c>
      <c r="C90" s="9">
        <f>TRUNC(8%*95%*40%,4)</f>
        <v>3.04E-2</v>
      </c>
      <c r="D90" s="13">
        <f t="shared" ref="D90" si="1">TRUNC($D$35*C90,2)</f>
        <v>46.51</v>
      </c>
    </row>
    <row r="91" spans="1:4" x14ac:dyDescent="0.2">
      <c r="A91" s="108" t="s">
        <v>16</v>
      </c>
      <c r="B91" s="109"/>
      <c r="C91" s="112"/>
      <c r="D91" s="19">
        <f>SUM(D85:D90)</f>
        <v>94.22</v>
      </c>
    </row>
    <row r="94" spans="1:4" x14ac:dyDescent="0.2">
      <c r="A94" s="104" t="s">
        <v>50</v>
      </c>
      <c r="B94" s="104"/>
      <c r="C94" s="104"/>
      <c r="D94" s="104"/>
    </row>
    <row r="97" spans="1:6" x14ac:dyDescent="0.2">
      <c r="A97" s="111" t="s">
        <v>77</v>
      </c>
      <c r="B97" s="111"/>
      <c r="C97" s="111"/>
      <c r="D97" s="111"/>
      <c r="E97" s="17"/>
      <c r="F97" s="17"/>
    </row>
    <row r="98" spans="1:6" x14ac:dyDescent="0.2">
      <c r="A98" s="3"/>
    </row>
    <row r="99" spans="1:6" x14ac:dyDescent="0.2">
      <c r="A99" s="6" t="s">
        <v>51</v>
      </c>
      <c r="B99" s="110" t="s">
        <v>78</v>
      </c>
      <c r="C99" s="110"/>
      <c r="D99" s="6" t="s">
        <v>3</v>
      </c>
    </row>
    <row r="100" spans="1:6" x14ac:dyDescent="0.2">
      <c r="A100" s="7" t="s">
        <v>4</v>
      </c>
      <c r="B100" s="8" t="s">
        <v>79</v>
      </c>
      <c r="C100" s="9">
        <f>TRUNC(((1+1/3)/12)/12,4)</f>
        <v>9.1999999999999998E-3</v>
      </c>
      <c r="D100" s="13">
        <f>TRUNC(($D$35+$D$79+$D$91)*C100,2)</f>
        <v>31.35</v>
      </c>
    </row>
    <row r="101" spans="1:6" x14ac:dyDescent="0.2">
      <c r="A101" s="7" t="s">
        <v>6</v>
      </c>
      <c r="B101" s="8" t="s">
        <v>80</v>
      </c>
      <c r="C101" s="9">
        <f>TRUNC(((2/30)/12),4)</f>
        <v>5.4999999999999997E-3</v>
      </c>
      <c r="D101" s="13">
        <f t="shared" ref="D101:D105" si="2">TRUNC(($D$35+$D$79+$D$91)*C101,2)</f>
        <v>18.739999999999998</v>
      </c>
    </row>
    <row r="102" spans="1:6" x14ac:dyDescent="0.2">
      <c r="A102" s="7" t="s">
        <v>8</v>
      </c>
      <c r="B102" s="8" t="s">
        <v>81</v>
      </c>
      <c r="C102" s="9">
        <f>TRUNC(((5/30)/12)*2%,4)</f>
        <v>2.0000000000000001E-4</v>
      </c>
      <c r="D102" s="13">
        <f t="shared" si="2"/>
        <v>0.68</v>
      </c>
    </row>
    <row r="103" spans="1:6" x14ac:dyDescent="0.2">
      <c r="A103" s="7" t="s">
        <v>10</v>
      </c>
      <c r="B103" s="8" t="s">
        <v>82</v>
      </c>
      <c r="C103" s="9">
        <f>TRUNC(((15/30)/12)*8%,4)</f>
        <v>3.3E-3</v>
      </c>
      <c r="D103" s="13">
        <f t="shared" si="2"/>
        <v>11.24</v>
      </c>
    </row>
    <row r="104" spans="1:6" x14ac:dyDescent="0.2">
      <c r="A104" s="7" t="s">
        <v>12</v>
      </c>
      <c r="B104" s="8" t="s">
        <v>83</v>
      </c>
      <c r="C104" s="9">
        <f>((1+1/3)/12)*3%*(4/12)</f>
        <v>1.1111111111111109E-3</v>
      </c>
      <c r="D104" s="13">
        <f t="shared" si="2"/>
        <v>3.78</v>
      </c>
    </row>
    <row r="105" spans="1:6" x14ac:dyDescent="0.2">
      <c r="A105" s="7" t="s">
        <v>32</v>
      </c>
      <c r="B105" s="8" t="s">
        <v>84</v>
      </c>
      <c r="C105" s="9"/>
      <c r="D105" s="13">
        <f t="shared" si="2"/>
        <v>0</v>
      </c>
    </row>
    <row r="106" spans="1:6" x14ac:dyDescent="0.2">
      <c r="A106" s="99" t="s">
        <v>37</v>
      </c>
      <c r="B106" s="99"/>
      <c r="C106" s="99"/>
      <c r="D106" s="19">
        <f>SUM(D100:D105)</f>
        <v>65.790000000000006</v>
      </c>
    </row>
    <row r="109" spans="1:6" x14ac:dyDescent="0.2">
      <c r="A109" s="111" t="s">
        <v>85</v>
      </c>
      <c r="B109" s="111"/>
      <c r="C109" s="111"/>
      <c r="D109" s="111"/>
    </row>
    <row r="110" spans="1:6" x14ac:dyDescent="0.2">
      <c r="A110" s="3"/>
    </row>
    <row r="111" spans="1:6" x14ac:dyDescent="0.2">
      <c r="A111" s="6" t="s">
        <v>52</v>
      </c>
      <c r="B111" s="110" t="s">
        <v>86</v>
      </c>
      <c r="C111" s="110"/>
      <c r="D111" s="6" t="s">
        <v>3</v>
      </c>
    </row>
    <row r="112" spans="1:6" x14ac:dyDescent="0.2">
      <c r="A112" s="7" t="s">
        <v>4</v>
      </c>
      <c r="B112" s="105" t="s">
        <v>87</v>
      </c>
      <c r="C112" s="106"/>
      <c r="D112" s="13">
        <f>((D35+D79+D91)/220)*22*0</f>
        <v>0</v>
      </c>
    </row>
    <row r="113" spans="1:4" x14ac:dyDescent="0.2">
      <c r="A113" s="99" t="s">
        <v>16</v>
      </c>
      <c r="B113" s="99"/>
      <c r="C113" s="99"/>
      <c r="D113" s="19">
        <f>SUM(D112)</f>
        <v>0</v>
      </c>
    </row>
    <row r="116" spans="1:4" x14ac:dyDescent="0.2">
      <c r="A116" s="111" t="s">
        <v>53</v>
      </c>
      <c r="B116" s="111"/>
      <c r="C116" s="111"/>
      <c r="D116" s="111"/>
    </row>
    <row r="117" spans="1:4" x14ac:dyDescent="0.2">
      <c r="A117" s="3"/>
    </row>
    <row r="118" spans="1:4" x14ac:dyDescent="0.2">
      <c r="A118" s="6">
        <v>4</v>
      </c>
      <c r="B118" s="99" t="s">
        <v>54</v>
      </c>
      <c r="C118" s="99"/>
      <c r="D118" s="6" t="s">
        <v>3</v>
      </c>
    </row>
    <row r="119" spans="1:4" x14ac:dyDescent="0.2">
      <c r="A119" s="7" t="s">
        <v>51</v>
      </c>
      <c r="B119" s="100" t="s">
        <v>78</v>
      </c>
      <c r="C119" s="100"/>
      <c r="D119" s="14">
        <f>D106</f>
        <v>65.790000000000006</v>
      </c>
    </row>
    <row r="120" spans="1:4" x14ac:dyDescent="0.2">
      <c r="A120" s="7" t="s">
        <v>52</v>
      </c>
      <c r="B120" s="100" t="s">
        <v>86</v>
      </c>
      <c r="C120" s="100"/>
      <c r="D120" s="14">
        <f>D113</f>
        <v>0</v>
      </c>
    </row>
    <row r="121" spans="1:4" x14ac:dyDescent="0.2">
      <c r="A121" s="99" t="s">
        <v>16</v>
      </c>
      <c r="B121" s="99"/>
      <c r="C121" s="99"/>
      <c r="D121" s="19">
        <f>SUM(D119:D120)</f>
        <v>65.790000000000006</v>
      </c>
    </row>
    <row r="124" spans="1:4" x14ac:dyDescent="0.2">
      <c r="A124" s="104" t="s">
        <v>55</v>
      </c>
      <c r="B124" s="104"/>
      <c r="C124" s="104"/>
      <c r="D124" s="104"/>
    </row>
    <row r="126" spans="1:4" x14ac:dyDescent="0.2">
      <c r="A126" s="6">
        <v>5</v>
      </c>
      <c r="B126" s="107" t="s">
        <v>56</v>
      </c>
      <c r="C126" s="107"/>
      <c r="D126" s="6" t="s">
        <v>3</v>
      </c>
    </row>
    <row r="127" spans="1:4" x14ac:dyDescent="0.2">
      <c r="A127" s="7" t="s">
        <v>4</v>
      </c>
      <c r="B127" s="8" t="s">
        <v>57</v>
      </c>
      <c r="C127" s="8"/>
      <c r="D127" s="13">
        <v>7.94</v>
      </c>
    </row>
    <row r="128" spans="1:4" x14ac:dyDescent="0.2">
      <c r="A128" s="7" t="s">
        <v>6</v>
      </c>
      <c r="B128" s="8" t="s">
        <v>58</v>
      </c>
      <c r="C128" s="8"/>
      <c r="D128" s="13">
        <v>0</v>
      </c>
    </row>
    <row r="129" spans="1:4" x14ac:dyDescent="0.2">
      <c r="A129" s="7" t="s">
        <v>8</v>
      </c>
      <c r="B129" s="8" t="s">
        <v>59</v>
      </c>
      <c r="C129" s="8"/>
      <c r="D129" s="13">
        <v>18.399999999999999</v>
      </c>
    </row>
    <row r="130" spans="1:4" x14ac:dyDescent="0.2">
      <c r="A130" s="7" t="s">
        <v>10</v>
      </c>
      <c r="B130" s="8" t="s">
        <v>106</v>
      </c>
      <c r="C130" s="8"/>
      <c r="D130" s="13">
        <f>19.11+1.58</f>
        <v>20.689999999999998</v>
      </c>
    </row>
    <row r="131" spans="1:4" x14ac:dyDescent="0.2">
      <c r="A131" s="89" t="s">
        <v>12</v>
      </c>
      <c r="B131" s="88" t="s">
        <v>268</v>
      </c>
      <c r="C131" s="88"/>
      <c r="D131" s="13">
        <v>0.28000000000000003</v>
      </c>
    </row>
    <row r="132" spans="1:4" x14ac:dyDescent="0.2">
      <c r="A132" s="99" t="s">
        <v>37</v>
      </c>
      <c r="B132" s="99"/>
      <c r="C132" s="99"/>
      <c r="D132" s="20">
        <f>SUM(D127:D131)</f>
        <v>47.31</v>
      </c>
    </row>
    <row r="135" spans="1:4" x14ac:dyDescent="0.2">
      <c r="A135" s="104" t="s">
        <v>60</v>
      </c>
      <c r="B135" s="104"/>
      <c r="C135" s="104"/>
      <c r="D135" s="104"/>
    </row>
    <row r="137" spans="1:4" x14ac:dyDescent="0.2">
      <c r="A137" s="6">
        <v>6</v>
      </c>
      <c r="B137" s="11" t="s">
        <v>61</v>
      </c>
      <c r="C137" s="6" t="s">
        <v>26</v>
      </c>
      <c r="D137" s="6" t="s">
        <v>3</v>
      </c>
    </row>
    <row r="138" spans="1:4" x14ac:dyDescent="0.2">
      <c r="A138" s="7" t="s">
        <v>4</v>
      </c>
      <c r="B138" s="8" t="s">
        <v>62</v>
      </c>
      <c r="C138" s="9">
        <v>0.05</v>
      </c>
      <c r="D138" s="14">
        <f>D158*C138</f>
        <v>176.07999999999998</v>
      </c>
    </row>
    <row r="139" spans="1:4" x14ac:dyDescent="0.2">
      <c r="A139" s="7" t="s">
        <v>6</v>
      </c>
      <c r="B139" s="8" t="s">
        <v>63</v>
      </c>
      <c r="C139" s="9">
        <v>0.06</v>
      </c>
      <c r="D139" s="13">
        <f>(D158+D138)*C139</f>
        <v>221.86079999999995</v>
      </c>
    </row>
    <row r="140" spans="1:4" x14ac:dyDescent="0.2">
      <c r="A140" s="7" t="s">
        <v>8</v>
      </c>
      <c r="B140" s="8" t="s">
        <v>64</v>
      </c>
      <c r="C140" s="12">
        <f>SUM(C141:C146)</f>
        <v>8.6499999999999994E-2</v>
      </c>
      <c r="D140" s="13">
        <f>(D158+D138+D139)*C140/(1-C140)</f>
        <v>371.14425747126432</v>
      </c>
    </row>
    <row r="141" spans="1:4" x14ac:dyDescent="0.2">
      <c r="A141" s="7"/>
      <c r="B141" s="8" t="s">
        <v>65</v>
      </c>
      <c r="C141" s="9"/>
      <c r="D141" s="14">
        <f>$D$160*C141</f>
        <v>0</v>
      </c>
    </row>
    <row r="142" spans="1:4" x14ac:dyDescent="0.2">
      <c r="A142" s="7"/>
      <c r="B142" s="25" t="s">
        <v>95</v>
      </c>
      <c r="C142" s="9">
        <v>6.4999999999999997E-3</v>
      </c>
      <c r="D142" s="14">
        <f t="shared" ref="D142:D143" si="3">$D$160*C142</f>
        <v>27.889484999999997</v>
      </c>
    </row>
    <row r="143" spans="1:4" x14ac:dyDescent="0.2">
      <c r="A143" s="7"/>
      <c r="B143" s="25" t="s">
        <v>96</v>
      </c>
      <c r="C143" s="9">
        <v>0.03</v>
      </c>
      <c r="D143" s="14">
        <f t="shared" si="3"/>
        <v>128.72069999999999</v>
      </c>
    </row>
    <row r="144" spans="1:4" x14ac:dyDescent="0.2">
      <c r="A144" s="7"/>
      <c r="B144" s="8" t="s">
        <v>66</v>
      </c>
      <c r="C144" s="7"/>
      <c r="D144" s="14">
        <f t="shared" ref="D144:D145" si="4">$D$160*C144</f>
        <v>0</v>
      </c>
    </row>
    <row r="145" spans="1:4" x14ac:dyDescent="0.2">
      <c r="A145" s="7"/>
      <c r="B145" s="8" t="s">
        <v>67</v>
      </c>
      <c r="C145" s="9"/>
      <c r="D145" s="14">
        <f t="shared" si="4"/>
        <v>0</v>
      </c>
    </row>
    <row r="146" spans="1:4" x14ac:dyDescent="0.2">
      <c r="A146" s="7"/>
      <c r="B146" s="25" t="s">
        <v>97</v>
      </c>
      <c r="C146" s="9">
        <v>0.05</v>
      </c>
      <c r="D146" s="14">
        <f t="shared" ref="D146" si="5">$D$160*C146</f>
        <v>214.53449999999998</v>
      </c>
    </row>
    <row r="147" spans="1:4" ht="13.5" x14ac:dyDescent="0.2">
      <c r="A147" s="108" t="s">
        <v>37</v>
      </c>
      <c r="B147" s="109"/>
      <c r="C147" s="21">
        <f>(1+C139)*(1+C138)/(1-C140)-1</f>
        <v>0.21839080459770144</v>
      </c>
      <c r="D147" s="19">
        <f>SUM(D138:D140)</f>
        <v>769.08505747126424</v>
      </c>
    </row>
    <row r="150" spans="1:4" x14ac:dyDescent="0.2">
      <c r="A150" s="104" t="s">
        <v>68</v>
      </c>
      <c r="B150" s="104"/>
      <c r="C150" s="104"/>
      <c r="D150" s="104"/>
    </row>
    <row r="152" spans="1:4" x14ac:dyDescent="0.2">
      <c r="A152" s="6"/>
      <c r="B152" s="99" t="s">
        <v>69</v>
      </c>
      <c r="C152" s="99"/>
      <c r="D152" s="6" t="s">
        <v>3</v>
      </c>
    </row>
    <row r="153" spans="1:4" x14ac:dyDescent="0.2">
      <c r="A153" s="6" t="s">
        <v>4</v>
      </c>
      <c r="B153" s="100" t="s">
        <v>1</v>
      </c>
      <c r="C153" s="100"/>
      <c r="D153" s="22">
        <f>D35</f>
        <v>1530</v>
      </c>
    </row>
    <row r="154" spans="1:4" x14ac:dyDescent="0.2">
      <c r="A154" s="6" t="s">
        <v>6</v>
      </c>
      <c r="B154" s="100" t="s">
        <v>17</v>
      </c>
      <c r="C154" s="100"/>
      <c r="D154" s="22">
        <f>D79</f>
        <v>1784.2799999999997</v>
      </c>
    </row>
    <row r="155" spans="1:4" x14ac:dyDescent="0.2">
      <c r="A155" s="6" t="s">
        <v>8</v>
      </c>
      <c r="B155" s="100" t="s">
        <v>45</v>
      </c>
      <c r="C155" s="100"/>
      <c r="D155" s="22">
        <f>D91</f>
        <v>94.22</v>
      </c>
    </row>
    <row r="156" spans="1:4" x14ac:dyDescent="0.2">
      <c r="A156" s="6" t="s">
        <v>10</v>
      </c>
      <c r="B156" s="100" t="s">
        <v>50</v>
      </c>
      <c r="C156" s="100"/>
      <c r="D156" s="22">
        <f>D121</f>
        <v>65.790000000000006</v>
      </c>
    </row>
    <row r="157" spans="1:4" x14ac:dyDescent="0.2">
      <c r="A157" s="6" t="s">
        <v>12</v>
      </c>
      <c r="B157" s="100" t="s">
        <v>55</v>
      </c>
      <c r="C157" s="100"/>
      <c r="D157" s="22">
        <f>D132</f>
        <v>47.31</v>
      </c>
    </row>
    <row r="158" spans="1:4" x14ac:dyDescent="0.2">
      <c r="A158" s="99" t="s">
        <v>94</v>
      </c>
      <c r="B158" s="99"/>
      <c r="C158" s="99"/>
      <c r="D158" s="23">
        <f>SUM(D153:D157)</f>
        <v>3521.5999999999995</v>
      </c>
    </row>
    <row r="159" spans="1:4" x14ac:dyDescent="0.2">
      <c r="A159" s="6" t="s">
        <v>32</v>
      </c>
      <c r="B159" s="100" t="s">
        <v>70</v>
      </c>
      <c r="C159" s="100"/>
      <c r="D159" s="24">
        <f>D147</f>
        <v>769.08505747126424</v>
      </c>
    </row>
    <row r="160" spans="1:4" x14ac:dyDescent="0.2">
      <c r="A160" s="99" t="s">
        <v>71</v>
      </c>
      <c r="B160" s="99"/>
      <c r="C160" s="99"/>
      <c r="D160" s="23">
        <f>ROUND(SUM(D158:D159),2)</f>
        <v>4290.6899999999996</v>
      </c>
    </row>
  </sheetData>
  <mergeCells count="75">
    <mergeCell ref="B157:C157"/>
    <mergeCell ref="A158:C158"/>
    <mergeCell ref="A62:D62"/>
    <mergeCell ref="B64:C64"/>
    <mergeCell ref="B65:C65"/>
    <mergeCell ref="B66:C66"/>
    <mergeCell ref="A73:D73"/>
    <mergeCell ref="B75:C75"/>
    <mergeCell ref="B76:C76"/>
    <mergeCell ref="B77:C77"/>
    <mergeCell ref="B78:C78"/>
    <mergeCell ref="A79:C79"/>
    <mergeCell ref="A82:D82"/>
    <mergeCell ref="B84:C84"/>
    <mergeCell ref="A106:C106"/>
    <mergeCell ref="A109:D109"/>
    <mergeCell ref="A1:D1"/>
    <mergeCell ref="A48:D48"/>
    <mergeCell ref="A59:B59"/>
    <mergeCell ref="A40:D40"/>
    <mergeCell ref="B42:C42"/>
    <mergeCell ref="B31:C31"/>
    <mergeCell ref="B32:C32"/>
    <mergeCell ref="B34:C34"/>
    <mergeCell ref="B33:C33"/>
    <mergeCell ref="A35:C35"/>
    <mergeCell ref="A17:D17"/>
    <mergeCell ref="B27:C27"/>
    <mergeCell ref="B28:C28"/>
    <mergeCell ref="B29:C29"/>
    <mergeCell ref="A12:D12"/>
    <mergeCell ref="A14:B14"/>
    <mergeCell ref="A97:D97"/>
    <mergeCell ref="B99:C99"/>
    <mergeCell ref="B67:C67"/>
    <mergeCell ref="B69:C69"/>
    <mergeCell ref="A70:C70"/>
    <mergeCell ref="A94:D94"/>
    <mergeCell ref="A91:C91"/>
    <mergeCell ref="B68:C68"/>
    <mergeCell ref="B111:C111"/>
    <mergeCell ref="A113:C113"/>
    <mergeCell ref="A116:D116"/>
    <mergeCell ref="B118:C118"/>
    <mergeCell ref="B119:C119"/>
    <mergeCell ref="B159:C159"/>
    <mergeCell ref="A160:C160"/>
    <mergeCell ref="A135:D135"/>
    <mergeCell ref="B112:C112"/>
    <mergeCell ref="B120:C120"/>
    <mergeCell ref="A121:C121"/>
    <mergeCell ref="A124:D124"/>
    <mergeCell ref="B126:C126"/>
    <mergeCell ref="A132:C132"/>
    <mergeCell ref="A147:B147"/>
    <mergeCell ref="A150:D150"/>
    <mergeCell ref="B152:C152"/>
    <mergeCell ref="B153:C153"/>
    <mergeCell ref="B154:C154"/>
    <mergeCell ref="B155:C155"/>
    <mergeCell ref="B156:C156"/>
    <mergeCell ref="C20:D20"/>
    <mergeCell ref="A45:B45"/>
    <mergeCell ref="B30:C30"/>
    <mergeCell ref="C19:D19"/>
    <mergeCell ref="C21:D21"/>
    <mergeCell ref="C22:D22"/>
    <mergeCell ref="C23:D23"/>
    <mergeCell ref="A25:D25"/>
    <mergeCell ref="A38:D38"/>
    <mergeCell ref="A3:D3"/>
    <mergeCell ref="A5:D5"/>
    <mergeCell ref="B9:C9"/>
    <mergeCell ref="B10:C10"/>
    <mergeCell ref="A15:B15"/>
  </mergeCells>
  <pageMargins left="0.51181102362204722" right="0.51181102362204722" top="0.78740157480314965" bottom="0.78740157480314965" header="0.31496062992125984" footer="0.31496062992125984"/>
  <pageSetup paperSize="9" scale="84" fitToHeight="0" orientation="portrait" r:id="rId1"/>
  <headerFooter>
    <oddHeader>&amp;C&amp;G</oddHead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60"/>
  <sheetViews>
    <sheetView topLeftCell="A80" zoomScale="115" zoomScaleNormal="115" workbookViewId="0">
      <selection activeCell="D132" sqref="D132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113" t="s">
        <v>0</v>
      </c>
      <c r="B1" s="113"/>
      <c r="C1" s="113"/>
      <c r="D1" s="113"/>
    </row>
    <row r="2" spans="1:4" ht="15.75" x14ac:dyDescent="0.25">
      <c r="A2" s="26"/>
      <c r="B2" s="26"/>
      <c r="C2" s="26"/>
      <c r="D2" s="26"/>
    </row>
    <row r="3" spans="1:4" x14ac:dyDescent="0.2">
      <c r="A3" s="90" t="s">
        <v>255</v>
      </c>
      <c r="B3" s="90"/>
      <c r="C3" s="90"/>
      <c r="D3" s="90"/>
    </row>
    <row r="4" spans="1:4" x14ac:dyDescent="0.2">
      <c r="A4" s="2"/>
      <c r="B4" s="2"/>
      <c r="C4" s="2"/>
      <c r="D4" s="2"/>
    </row>
    <row r="5" spans="1:4" x14ac:dyDescent="0.2">
      <c r="A5" s="91" t="s">
        <v>256</v>
      </c>
      <c r="B5" s="92"/>
      <c r="C5" s="92"/>
      <c r="D5" s="93"/>
    </row>
    <row r="6" spans="1:4" x14ac:dyDescent="0.2">
      <c r="A6" s="83" t="s">
        <v>4</v>
      </c>
      <c r="B6" s="84" t="s">
        <v>257</v>
      </c>
      <c r="C6" s="85"/>
      <c r="D6" s="86" t="s">
        <v>262</v>
      </c>
    </row>
    <row r="7" spans="1:4" x14ac:dyDescent="0.2">
      <c r="A7" s="83" t="s">
        <v>6</v>
      </c>
      <c r="B7" s="84" t="s">
        <v>258</v>
      </c>
      <c r="C7" s="85"/>
      <c r="D7" s="86" t="s">
        <v>263</v>
      </c>
    </row>
    <row r="8" spans="1:4" x14ac:dyDescent="0.2">
      <c r="A8" s="83" t="s">
        <v>8</v>
      </c>
      <c r="B8" s="84" t="s">
        <v>259</v>
      </c>
      <c r="C8" s="85"/>
      <c r="D8" s="87">
        <v>45785</v>
      </c>
    </row>
    <row r="9" spans="1:4" x14ac:dyDescent="0.2">
      <c r="A9" s="83" t="s">
        <v>10</v>
      </c>
      <c r="B9" s="94" t="s">
        <v>264</v>
      </c>
      <c r="C9" s="95"/>
      <c r="D9" s="86" t="s">
        <v>260</v>
      </c>
    </row>
    <row r="10" spans="1:4" x14ac:dyDescent="0.2">
      <c r="A10" s="83" t="s">
        <v>12</v>
      </c>
      <c r="B10" s="94" t="s">
        <v>265</v>
      </c>
      <c r="C10" s="95"/>
      <c r="D10" s="86" t="s">
        <v>261</v>
      </c>
    </row>
    <row r="12" spans="1:4" x14ac:dyDescent="0.2">
      <c r="A12" s="103" t="s">
        <v>88</v>
      </c>
      <c r="B12" s="103"/>
      <c r="C12" s="103"/>
      <c r="D12" s="103"/>
    </row>
    <row r="13" spans="1:4" x14ac:dyDescent="0.2">
      <c r="A13" s="2"/>
      <c r="B13" s="2"/>
      <c r="C13" s="2"/>
      <c r="D13" s="2"/>
    </row>
    <row r="14" spans="1:4" ht="38.25" x14ac:dyDescent="0.2">
      <c r="A14" s="115" t="s">
        <v>89</v>
      </c>
      <c r="B14" s="115"/>
      <c r="C14" s="32" t="s">
        <v>90</v>
      </c>
      <c r="D14" s="27" t="s">
        <v>91</v>
      </c>
    </row>
    <row r="15" spans="1:4" x14ac:dyDescent="0.2">
      <c r="A15" s="96" t="s">
        <v>119</v>
      </c>
      <c r="B15" s="96"/>
      <c r="C15" s="33" t="s">
        <v>101</v>
      </c>
      <c r="D15" s="33">
        <v>1</v>
      </c>
    </row>
    <row r="17" spans="1:4" x14ac:dyDescent="0.2">
      <c r="A17" s="103" t="s">
        <v>72</v>
      </c>
      <c r="B17" s="103"/>
      <c r="C17" s="103"/>
      <c r="D17" s="103"/>
    </row>
    <row r="18" spans="1:4" x14ac:dyDescent="0.2">
      <c r="A18" s="2"/>
      <c r="B18" s="2"/>
      <c r="C18" s="2"/>
      <c r="D18" s="2"/>
    </row>
    <row r="19" spans="1:4" x14ac:dyDescent="0.2">
      <c r="A19" s="5">
        <v>1</v>
      </c>
      <c r="B19" s="5" t="s">
        <v>73</v>
      </c>
      <c r="C19" s="97" t="s">
        <v>119</v>
      </c>
      <c r="D19" s="98"/>
    </row>
    <row r="20" spans="1:4" x14ac:dyDescent="0.2">
      <c r="A20" s="5">
        <v>2</v>
      </c>
      <c r="B20" s="5" t="s">
        <v>92</v>
      </c>
      <c r="C20" s="97" t="s">
        <v>120</v>
      </c>
      <c r="D20" s="98"/>
    </row>
    <row r="21" spans="1:4" x14ac:dyDescent="0.2">
      <c r="A21" s="5">
        <v>3</v>
      </c>
      <c r="B21" s="5" t="s">
        <v>74</v>
      </c>
      <c r="C21" s="101">
        <v>1530</v>
      </c>
      <c r="D21" s="102"/>
    </row>
    <row r="22" spans="1:4" x14ac:dyDescent="0.2">
      <c r="A22" s="5">
        <v>4</v>
      </c>
      <c r="B22" s="5" t="s">
        <v>75</v>
      </c>
      <c r="C22" s="97"/>
      <c r="D22" s="98"/>
    </row>
    <row r="23" spans="1:4" x14ac:dyDescent="0.2">
      <c r="A23" s="5">
        <v>5</v>
      </c>
      <c r="B23" s="5" t="s">
        <v>76</v>
      </c>
      <c r="C23" s="97"/>
      <c r="D23" s="98"/>
    </row>
    <row r="25" spans="1:4" x14ac:dyDescent="0.2">
      <c r="A25" s="103" t="s">
        <v>1</v>
      </c>
      <c r="B25" s="103"/>
      <c r="C25" s="103"/>
      <c r="D25" s="103"/>
    </row>
    <row r="27" spans="1:4" x14ac:dyDescent="0.2">
      <c r="A27" s="30">
        <v>1</v>
      </c>
      <c r="B27" s="99" t="s">
        <v>2</v>
      </c>
      <c r="C27" s="99"/>
      <c r="D27" s="30" t="s">
        <v>3</v>
      </c>
    </row>
    <row r="28" spans="1:4" x14ac:dyDescent="0.2">
      <c r="A28" s="32" t="s">
        <v>4</v>
      </c>
      <c r="B28" s="100" t="s">
        <v>5</v>
      </c>
      <c r="C28" s="100"/>
      <c r="D28" s="13">
        <v>1530</v>
      </c>
    </row>
    <row r="29" spans="1:4" x14ac:dyDescent="0.2">
      <c r="A29" s="32" t="s">
        <v>6</v>
      </c>
      <c r="B29" s="100" t="s">
        <v>7</v>
      </c>
      <c r="C29" s="100"/>
      <c r="D29" s="13"/>
    </row>
    <row r="30" spans="1:4" x14ac:dyDescent="0.2">
      <c r="A30" s="32" t="s">
        <v>8</v>
      </c>
      <c r="B30" s="100" t="s">
        <v>9</v>
      </c>
      <c r="C30" s="100"/>
      <c r="D30" s="13"/>
    </row>
    <row r="31" spans="1:4" x14ac:dyDescent="0.2">
      <c r="A31" s="32" t="s">
        <v>10</v>
      </c>
      <c r="B31" s="100" t="s">
        <v>11</v>
      </c>
      <c r="C31" s="100"/>
      <c r="D31" s="13"/>
    </row>
    <row r="32" spans="1:4" x14ac:dyDescent="0.2">
      <c r="A32" s="32" t="s">
        <v>12</v>
      </c>
      <c r="B32" s="100" t="s">
        <v>13</v>
      </c>
      <c r="C32" s="100"/>
      <c r="D32" s="13"/>
    </row>
    <row r="33" spans="1:4" x14ac:dyDescent="0.2">
      <c r="A33" s="32"/>
      <c r="B33" s="100"/>
      <c r="C33" s="100"/>
      <c r="D33" s="13"/>
    </row>
    <row r="34" spans="1:4" x14ac:dyDescent="0.2">
      <c r="A34" s="32" t="s">
        <v>14</v>
      </c>
      <c r="B34" s="100" t="s">
        <v>15</v>
      </c>
      <c r="C34" s="100"/>
      <c r="D34" s="13"/>
    </row>
    <row r="35" spans="1:4" x14ac:dyDescent="0.2">
      <c r="A35" s="99" t="s">
        <v>16</v>
      </c>
      <c r="B35" s="99"/>
      <c r="C35" s="99"/>
      <c r="D35" s="20">
        <f>SUM(D28:D34)</f>
        <v>1530</v>
      </c>
    </row>
    <row r="38" spans="1:4" x14ac:dyDescent="0.2">
      <c r="A38" s="104" t="s">
        <v>17</v>
      </c>
      <c r="B38" s="104"/>
      <c r="C38" s="104"/>
      <c r="D38" s="104"/>
    </row>
    <row r="39" spans="1:4" x14ac:dyDescent="0.2">
      <c r="A39" s="3"/>
    </row>
    <row r="40" spans="1:4" x14ac:dyDescent="0.2">
      <c r="A40" s="111" t="s">
        <v>18</v>
      </c>
      <c r="B40" s="111"/>
      <c r="C40" s="111"/>
      <c r="D40" s="111"/>
    </row>
    <row r="42" spans="1:4" x14ac:dyDescent="0.2">
      <c r="A42" s="30" t="s">
        <v>19</v>
      </c>
      <c r="B42" s="99" t="s">
        <v>20</v>
      </c>
      <c r="C42" s="99"/>
      <c r="D42" s="30" t="s">
        <v>3</v>
      </c>
    </row>
    <row r="43" spans="1:4" x14ac:dyDescent="0.2">
      <c r="A43" s="32" t="s">
        <v>4</v>
      </c>
      <c r="B43" s="29" t="s">
        <v>21</v>
      </c>
      <c r="C43" s="12">
        <f>TRUNC(1/12,4)</f>
        <v>8.3299999999999999E-2</v>
      </c>
      <c r="D43" s="13">
        <f>TRUNC($D$35*C43,2)</f>
        <v>127.44</v>
      </c>
    </row>
    <row r="44" spans="1:4" x14ac:dyDescent="0.2">
      <c r="A44" s="32" t="s">
        <v>6</v>
      </c>
      <c r="B44" s="29" t="s">
        <v>22</v>
      </c>
      <c r="C44" s="12">
        <f>TRUNC(((1+1/3)/12),4)</f>
        <v>0.1111</v>
      </c>
      <c r="D44" s="13">
        <f>TRUNC($D$35*C44,2)</f>
        <v>169.98</v>
      </c>
    </row>
    <row r="45" spans="1:4" x14ac:dyDescent="0.2">
      <c r="A45" s="99" t="s">
        <v>16</v>
      </c>
      <c r="B45" s="99"/>
      <c r="C45" s="28">
        <f>SUM(C43:C44)</f>
        <v>0.19440000000000002</v>
      </c>
      <c r="D45" s="19">
        <f>SUM(D43:D44)</f>
        <v>297.41999999999996</v>
      </c>
    </row>
    <row r="48" spans="1:4" x14ac:dyDescent="0.2">
      <c r="A48" s="114" t="s">
        <v>23</v>
      </c>
      <c r="B48" s="114"/>
      <c r="C48" s="114"/>
      <c r="D48" s="114"/>
    </row>
    <row r="50" spans="1:4" x14ac:dyDescent="0.2">
      <c r="A50" s="30" t="s">
        <v>24</v>
      </c>
      <c r="B50" s="30" t="s">
        <v>25</v>
      </c>
      <c r="C50" s="30" t="s">
        <v>26</v>
      </c>
      <c r="D50" s="30" t="s">
        <v>3</v>
      </c>
    </row>
    <row r="51" spans="1:4" x14ac:dyDescent="0.2">
      <c r="A51" s="32" t="s">
        <v>4</v>
      </c>
      <c r="B51" s="29" t="s">
        <v>27</v>
      </c>
      <c r="C51" s="9">
        <v>0.2</v>
      </c>
      <c r="D51" s="13">
        <f>TRUNC(($D$35+$D$45)*C51,2)</f>
        <v>365.48</v>
      </c>
    </row>
    <row r="52" spans="1:4" x14ac:dyDescent="0.2">
      <c r="A52" s="32" t="s">
        <v>6</v>
      </c>
      <c r="B52" s="29" t="s">
        <v>28</v>
      </c>
      <c r="C52" s="9">
        <v>2.5000000000000001E-2</v>
      </c>
      <c r="D52" s="13">
        <f t="shared" ref="D52:D58" si="0">TRUNC(($D$35+$D$45)*C52,2)</f>
        <v>45.68</v>
      </c>
    </row>
    <row r="53" spans="1:4" x14ac:dyDescent="0.2">
      <c r="A53" s="32" t="s">
        <v>8</v>
      </c>
      <c r="B53" s="29" t="s">
        <v>29</v>
      </c>
      <c r="C53" s="16">
        <v>0.03</v>
      </c>
      <c r="D53" s="13">
        <f t="shared" si="0"/>
        <v>54.82</v>
      </c>
    </row>
    <row r="54" spans="1:4" x14ac:dyDescent="0.2">
      <c r="A54" s="32" t="s">
        <v>10</v>
      </c>
      <c r="B54" s="29" t="s">
        <v>30</v>
      </c>
      <c r="C54" s="9">
        <v>1.4999999999999999E-2</v>
      </c>
      <c r="D54" s="13">
        <f t="shared" si="0"/>
        <v>27.41</v>
      </c>
    </row>
    <row r="55" spans="1:4" x14ac:dyDescent="0.2">
      <c r="A55" s="32" t="s">
        <v>12</v>
      </c>
      <c r="B55" s="29" t="s">
        <v>31</v>
      </c>
      <c r="C55" s="9">
        <v>0.01</v>
      </c>
      <c r="D55" s="13">
        <f t="shared" si="0"/>
        <v>18.27</v>
      </c>
    </row>
    <row r="56" spans="1:4" x14ac:dyDescent="0.2">
      <c r="A56" s="32" t="s">
        <v>32</v>
      </c>
      <c r="B56" s="29" t="s">
        <v>33</v>
      </c>
      <c r="C56" s="9">
        <v>6.0000000000000001E-3</v>
      </c>
      <c r="D56" s="13">
        <f t="shared" si="0"/>
        <v>10.96</v>
      </c>
    </row>
    <row r="57" spans="1:4" x14ac:dyDescent="0.2">
      <c r="A57" s="32" t="s">
        <v>14</v>
      </c>
      <c r="B57" s="29" t="s">
        <v>34</v>
      </c>
      <c r="C57" s="9">
        <v>2E-3</v>
      </c>
      <c r="D57" s="13">
        <f t="shared" si="0"/>
        <v>3.65</v>
      </c>
    </row>
    <row r="58" spans="1:4" x14ac:dyDescent="0.2">
      <c r="A58" s="32" t="s">
        <v>35</v>
      </c>
      <c r="B58" s="29" t="s">
        <v>36</v>
      </c>
      <c r="C58" s="9">
        <v>0.08</v>
      </c>
      <c r="D58" s="13">
        <f t="shared" si="0"/>
        <v>146.19</v>
      </c>
    </row>
    <row r="59" spans="1:4" x14ac:dyDescent="0.2">
      <c r="A59" s="99" t="s">
        <v>37</v>
      </c>
      <c r="B59" s="99"/>
      <c r="C59" s="15">
        <f>SUM(C51:C58)</f>
        <v>0.36800000000000005</v>
      </c>
      <c r="D59" s="19">
        <f>SUM(D51:D58)</f>
        <v>672.46</v>
      </c>
    </row>
    <row r="62" spans="1:4" x14ac:dyDescent="0.2">
      <c r="A62" s="111" t="s">
        <v>38</v>
      </c>
      <c r="B62" s="111"/>
      <c r="C62" s="111"/>
      <c r="D62" s="111"/>
    </row>
    <row r="64" spans="1:4" x14ac:dyDescent="0.2">
      <c r="A64" s="30" t="s">
        <v>39</v>
      </c>
      <c r="B64" s="110" t="s">
        <v>40</v>
      </c>
      <c r="C64" s="110"/>
      <c r="D64" s="30" t="s">
        <v>3</v>
      </c>
    </row>
    <row r="65" spans="1:5" x14ac:dyDescent="0.2">
      <c r="A65" s="32" t="s">
        <v>4</v>
      </c>
      <c r="B65" s="100" t="s">
        <v>41</v>
      </c>
      <c r="C65" s="100"/>
      <c r="D65" s="13">
        <f>IF((22*2*5.6)-(D28*0.06)&gt;0,(22*2*5.6)-(D28*0.06),0)</f>
        <v>154.59999999999997</v>
      </c>
    </row>
    <row r="66" spans="1:5" x14ac:dyDescent="0.2">
      <c r="A66" s="32" t="s">
        <v>6</v>
      </c>
      <c r="B66" s="100" t="s">
        <v>42</v>
      </c>
      <c r="C66" s="100"/>
      <c r="D66" s="13">
        <f>20*0.8*22</f>
        <v>352</v>
      </c>
    </row>
    <row r="67" spans="1:5" x14ac:dyDescent="0.2">
      <c r="A67" s="32" t="s">
        <v>8</v>
      </c>
      <c r="B67" s="100" t="s">
        <v>103</v>
      </c>
      <c r="C67" s="100"/>
      <c r="D67" s="13">
        <v>280</v>
      </c>
    </row>
    <row r="68" spans="1:5" x14ac:dyDescent="0.2">
      <c r="A68" s="32" t="s">
        <v>10</v>
      </c>
      <c r="B68" s="100" t="s">
        <v>104</v>
      </c>
      <c r="C68" s="100"/>
      <c r="D68" s="13">
        <v>23</v>
      </c>
    </row>
    <row r="69" spans="1:5" x14ac:dyDescent="0.2">
      <c r="A69" s="32" t="s">
        <v>12</v>
      </c>
      <c r="B69" s="100" t="s">
        <v>105</v>
      </c>
      <c r="C69" s="100"/>
      <c r="D69" s="13">
        <v>4.8</v>
      </c>
    </row>
    <row r="70" spans="1:5" x14ac:dyDescent="0.2">
      <c r="A70" s="99" t="s">
        <v>16</v>
      </c>
      <c r="B70" s="99"/>
      <c r="C70" s="99"/>
      <c r="D70" s="19">
        <f>SUM(D65:D69)</f>
        <v>814.39999999999986</v>
      </c>
    </row>
    <row r="71" spans="1:5" x14ac:dyDescent="0.2">
      <c r="E71" s="18"/>
    </row>
    <row r="73" spans="1:5" x14ac:dyDescent="0.2">
      <c r="A73" s="111" t="s">
        <v>43</v>
      </c>
      <c r="B73" s="111"/>
      <c r="C73" s="111"/>
      <c r="D73" s="111"/>
      <c r="E73" s="17"/>
    </row>
    <row r="74" spans="1:5" ht="12.75" customHeight="1" x14ac:dyDescent="0.2">
      <c r="E74" s="18"/>
    </row>
    <row r="75" spans="1:5" x14ac:dyDescent="0.2">
      <c r="A75" s="30">
        <v>2</v>
      </c>
      <c r="B75" s="110" t="s">
        <v>44</v>
      </c>
      <c r="C75" s="110"/>
      <c r="D75" s="30" t="s">
        <v>3</v>
      </c>
    </row>
    <row r="76" spans="1:5" x14ac:dyDescent="0.2">
      <c r="A76" s="32" t="s">
        <v>19</v>
      </c>
      <c r="B76" s="100" t="s">
        <v>20</v>
      </c>
      <c r="C76" s="100"/>
      <c r="D76" s="14">
        <f>D45</f>
        <v>297.41999999999996</v>
      </c>
    </row>
    <row r="77" spans="1:5" x14ac:dyDescent="0.2">
      <c r="A77" s="32" t="s">
        <v>24</v>
      </c>
      <c r="B77" s="100" t="s">
        <v>25</v>
      </c>
      <c r="C77" s="100"/>
      <c r="D77" s="14">
        <f>D59</f>
        <v>672.46</v>
      </c>
    </row>
    <row r="78" spans="1:5" x14ac:dyDescent="0.2">
      <c r="A78" s="32" t="s">
        <v>39</v>
      </c>
      <c r="B78" s="100" t="s">
        <v>40</v>
      </c>
      <c r="C78" s="100"/>
      <c r="D78" s="14">
        <f>D70</f>
        <v>814.39999999999986</v>
      </c>
    </row>
    <row r="79" spans="1:5" x14ac:dyDescent="0.2">
      <c r="A79" s="99" t="s">
        <v>16</v>
      </c>
      <c r="B79" s="99"/>
      <c r="C79" s="99"/>
      <c r="D79" s="19">
        <f>SUM(D76:D78)</f>
        <v>1784.2799999999997</v>
      </c>
    </row>
    <row r="80" spans="1:5" x14ac:dyDescent="0.2">
      <c r="A80" s="4"/>
    </row>
    <row r="82" spans="1:4" x14ac:dyDescent="0.2">
      <c r="A82" s="104" t="s">
        <v>45</v>
      </c>
      <c r="B82" s="104"/>
      <c r="C82" s="104"/>
      <c r="D82" s="104"/>
    </row>
    <row r="84" spans="1:4" x14ac:dyDescent="0.2">
      <c r="A84" s="30">
        <v>3</v>
      </c>
      <c r="B84" s="110" t="s">
        <v>46</v>
      </c>
      <c r="C84" s="110"/>
      <c r="D84" s="30" t="s">
        <v>3</v>
      </c>
    </row>
    <row r="85" spans="1:4" x14ac:dyDescent="0.2">
      <c r="A85" s="32" t="s">
        <v>4</v>
      </c>
      <c r="B85" s="10" t="s">
        <v>47</v>
      </c>
      <c r="C85" s="9">
        <f>TRUNC(((1/12)*5%),4)</f>
        <v>4.1000000000000003E-3</v>
      </c>
      <c r="D85" s="13">
        <f>TRUNC($D$35*C85,2)</f>
        <v>6.27</v>
      </c>
    </row>
    <row r="86" spans="1:4" x14ac:dyDescent="0.2">
      <c r="A86" s="32" t="s">
        <v>6</v>
      </c>
      <c r="B86" s="10" t="s">
        <v>48</v>
      </c>
      <c r="C86" s="9">
        <v>0.08</v>
      </c>
      <c r="D86" s="13">
        <f>TRUNC(D85*C86,2)</f>
        <v>0.5</v>
      </c>
    </row>
    <row r="87" spans="1:4" x14ac:dyDescent="0.2">
      <c r="A87" s="32" t="s">
        <v>8</v>
      </c>
      <c r="B87" s="10" t="s">
        <v>98</v>
      </c>
      <c r="C87" s="9">
        <f>TRUNC(8%*5%*40%,4)</f>
        <v>1.6000000000000001E-3</v>
      </c>
      <c r="D87" s="13">
        <f>TRUNC($D$35*C87,2)</f>
        <v>2.44</v>
      </c>
    </row>
    <row r="88" spans="1:4" x14ac:dyDescent="0.2">
      <c r="A88" s="32" t="s">
        <v>10</v>
      </c>
      <c r="B88" s="10" t="s">
        <v>49</v>
      </c>
      <c r="C88" s="9">
        <f>TRUNC(((7/30)/12)*95%,4)</f>
        <v>1.84E-2</v>
      </c>
      <c r="D88" s="13">
        <f>TRUNC($D$35*C88,2)</f>
        <v>28.15</v>
      </c>
    </row>
    <row r="89" spans="1:4" ht="25.5" x14ac:dyDescent="0.2">
      <c r="A89" s="32" t="s">
        <v>12</v>
      </c>
      <c r="B89" s="10" t="s">
        <v>93</v>
      </c>
      <c r="C89" s="9">
        <f>C59</f>
        <v>0.36800000000000005</v>
      </c>
      <c r="D89" s="13">
        <f>TRUNC(D88*C89,2)</f>
        <v>10.35</v>
      </c>
    </row>
    <row r="90" spans="1:4" x14ac:dyDescent="0.2">
      <c r="A90" s="32" t="s">
        <v>32</v>
      </c>
      <c r="B90" s="10" t="s">
        <v>99</v>
      </c>
      <c r="C90" s="9">
        <f>TRUNC(8%*95%*40%,4)</f>
        <v>3.04E-2</v>
      </c>
      <c r="D90" s="13">
        <f t="shared" ref="D90" si="1">TRUNC($D$35*C90,2)</f>
        <v>46.51</v>
      </c>
    </row>
    <row r="91" spans="1:4" x14ac:dyDescent="0.2">
      <c r="A91" s="108" t="s">
        <v>16</v>
      </c>
      <c r="B91" s="109"/>
      <c r="C91" s="112"/>
      <c r="D91" s="19">
        <f>SUM(D85:D90)</f>
        <v>94.22</v>
      </c>
    </row>
    <row r="94" spans="1:4" x14ac:dyDescent="0.2">
      <c r="A94" s="104" t="s">
        <v>50</v>
      </c>
      <c r="B94" s="104"/>
      <c r="C94" s="104"/>
      <c r="D94" s="104"/>
    </row>
    <row r="97" spans="1:6" x14ac:dyDescent="0.2">
      <c r="A97" s="111" t="s">
        <v>77</v>
      </c>
      <c r="B97" s="111"/>
      <c r="C97" s="111"/>
      <c r="D97" s="111"/>
      <c r="E97" s="17"/>
      <c r="F97" s="17"/>
    </row>
    <row r="98" spans="1:6" x14ac:dyDescent="0.2">
      <c r="A98" s="3"/>
    </row>
    <row r="99" spans="1:6" x14ac:dyDescent="0.2">
      <c r="A99" s="30" t="s">
        <v>51</v>
      </c>
      <c r="B99" s="110" t="s">
        <v>78</v>
      </c>
      <c r="C99" s="110"/>
      <c r="D99" s="30" t="s">
        <v>3</v>
      </c>
    </row>
    <row r="100" spans="1:6" x14ac:dyDescent="0.2">
      <c r="A100" s="32" t="s">
        <v>4</v>
      </c>
      <c r="B100" s="29" t="s">
        <v>79</v>
      </c>
      <c r="C100" s="9">
        <f>TRUNC(((1+1/3)/12)/12,4)</f>
        <v>9.1999999999999998E-3</v>
      </c>
      <c r="D100" s="13">
        <f>TRUNC(($D$35+$D$79+$D$91)*C100,2)</f>
        <v>31.35</v>
      </c>
    </row>
    <row r="101" spans="1:6" x14ac:dyDescent="0.2">
      <c r="A101" s="32" t="s">
        <v>6</v>
      </c>
      <c r="B101" s="29" t="s">
        <v>80</v>
      </c>
      <c r="C101" s="9">
        <f>TRUNC(((2/30)/12),4)</f>
        <v>5.4999999999999997E-3</v>
      </c>
      <c r="D101" s="13">
        <f t="shared" ref="D101:D105" si="2">TRUNC(($D$35+$D$79+$D$91)*C101,2)</f>
        <v>18.739999999999998</v>
      </c>
    </row>
    <row r="102" spans="1:6" x14ac:dyDescent="0.2">
      <c r="A102" s="32" t="s">
        <v>8</v>
      </c>
      <c r="B102" s="29" t="s">
        <v>81</v>
      </c>
      <c r="C102" s="9">
        <f>TRUNC(((5/30)/12)*2%,4)</f>
        <v>2.0000000000000001E-4</v>
      </c>
      <c r="D102" s="13">
        <f t="shared" si="2"/>
        <v>0.68</v>
      </c>
    </row>
    <row r="103" spans="1:6" x14ac:dyDescent="0.2">
      <c r="A103" s="32" t="s">
        <v>10</v>
      </c>
      <c r="B103" s="29" t="s">
        <v>82</v>
      </c>
      <c r="C103" s="9">
        <f>TRUNC(((15/30)/12)*8%,4)</f>
        <v>3.3E-3</v>
      </c>
      <c r="D103" s="13">
        <f t="shared" si="2"/>
        <v>11.24</v>
      </c>
    </row>
    <row r="104" spans="1:6" x14ac:dyDescent="0.2">
      <c r="A104" s="32" t="s">
        <v>12</v>
      </c>
      <c r="B104" s="29" t="s">
        <v>83</v>
      </c>
      <c r="C104" s="9">
        <f>((1+1/3)/12)*3%*(4/12)</f>
        <v>1.1111111111111109E-3</v>
      </c>
      <c r="D104" s="13">
        <f t="shared" si="2"/>
        <v>3.78</v>
      </c>
    </row>
    <row r="105" spans="1:6" x14ac:dyDescent="0.2">
      <c r="A105" s="32" t="s">
        <v>32</v>
      </c>
      <c r="B105" s="29" t="s">
        <v>84</v>
      </c>
      <c r="C105" s="9"/>
      <c r="D105" s="13">
        <f t="shared" si="2"/>
        <v>0</v>
      </c>
    </row>
    <row r="106" spans="1:6" x14ac:dyDescent="0.2">
      <c r="A106" s="99" t="s">
        <v>37</v>
      </c>
      <c r="B106" s="99"/>
      <c r="C106" s="99"/>
      <c r="D106" s="19">
        <f>SUM(D100:D105)</f>
        <v>65.790000000000006</v>
      </c>
    </row>
    <row r="109" spans="1:6" x14ac:dyDescent="0.2">
      <c r="A109" s="111" t="s">
        <v>85</v>
      </c>
      <c r="B109" s="111"/>
      <c r="C109" s="111"/>
      <c r="D109" s="111"/>
    </row>
    <row r="110" spans="1:6" x14ac:dyDescent="0.2">
      <c r="A110" s="3"/>
    </row>
    <row r="111" spans="1:6" x14ac:dyDescent="0.2">
      <c r="A111" s="30" t="s">
        <v>52</v>
      </c>
      <c r="B111" s="110" t="s">
        <v>86</v>
      </c>
      <c r="C111" s="110"/>
      <c r="D111" s="30" t="s">
        <v>3</v>
      </c>
    </row>
    <row r="112" spans="1:6" x14ac:dyDescent="0.2">
      <c r="A112" s="32" t="s">
        <v>4</v>
      </c>
      <c r="B112" s="105" t="s">
        <v>87</v>
      </c>
      <c r="C112" s="106"/>
      <c r="D112" s="13">
        <f>((D35+D79+D91)/220)*22*0</f>
        <v>0</v>
      </c>
    </row>
    <row r="113" spans="1:4" x14ac:dyDescent="0.2">
      <c r="A113" s="99" t="s">
        <v>16</v>
      </c>
      <c r="B113" s="99"/>
      <c r="C113" s="99"/>
      <c r="D113" s="19">
        <f>SUM(D112)</f>
        <v>0</v>
      </c>
    </row>
    <row r="116" spans="1:4" x14ac:dyDescent="0.2">
      <c r="A116" s="111" t="s">
        <v>53</v>
      </c>
      <c r="B116" s="111"/>
      <c r="C116" s="111"/>
      <c r="D116" s="111"/>
    </row>
    <row r="117" spans="1:4" x14ac:dyDescent="0.2">
      <c r="A117" s="3"/>
    </row>
    <row r="118" spans="1:4" x14ac:dyDescent="0.2">
      <c r="A118" s="30">
        <v>4</v>
      </c>
      <c r="B118" s="99" t="s">
        <v>54</v>
      </c>
      <c r="C118" s="99"/>
      <c r="D118" s="30" t="s">
        <v>3</v>
      </c>
    </row>
    <row r="119" spans="1:4" x14ac:dyDescent="0.2">
      <c r="A119" s="32" t="s">
        <v>51</v>
      </c>
      <c r="B119" s="100" t="s">
        <v>78</v>
      </c>
      <c r="C119" s="100"/>
      <c r="D119" s="14">
        <f>D106</f>
        <v>65.790000000000006</v>
      </c>
    </row>
    <row r="120" spans="1:4" x14ac:dyDescent="0.2">
      <c r="A120" s="32" t="s">
        <v>52</v>
      </c>
      <c r="B120" s="100" t="s">
        <v>86</v>
      </c>
      <c r="C120" s="100"/>
      <c r="D120" s="14">
        <f>D113</f>
        <v>0</v>
      </c>
    </row>
    <row r="121" spans="1:4" x14ac:dyDescent="0.2">
      <c r="A121" s="99" t="s">
        <v>16</v>
      </c>
      <c r="B121" s="99"/>
      <c r="C121" s="99"/>
      <c r="D121" s="19">
        <f>SUM(D119:D120)</f>
        <v>65.790000000000006</v>
      </c>
    </row>
    <row r="124" spans="1:4" x14ac:dyDescent="0.2">
      <c r="A124" s="104" t="s">
        <v>55</v>
      </c>
      <c r="B124" s="104"/>
      <c r="C124" s="104"/>
      <c r="D124" s="104"/>
    </row>
    <row r="126" spans="1:4" x14ac:dyDescent="0.2">
      <c r="A126" s="30">
        <v>5</v>
      </c>
      <c r="B126" s="107" t="s">
        <v>56</v>
      </c>
      <c r="C126" s="107"/>
      <c r="D126" s="30" t="s">
        <v>3</v>
      </c>
    </row>
    <row r="127" spans="1:4" x14ac:dyDescent="0.2">
      <c r="A127" s="32" t="s">
        <v>4</v>
      </c>
      <c r="B127" s="29" t="s">
        <v>57</v>
      </c>
      <c r="C127" s="29"/>
      <c r="D127" s="13">
        <v>7.94</v>
      </c>
    </row>
    <row r="128" spans="1:4" x14ac:dyDescent="0.2">
      <c r="A128" s="32" t="s">
        <v>6</v>
      </c>
      <c r="B128" s="29" t="s">
        <v>58</v>
      </c>
      <c r="C128" s="29"/>
      <c r="D128" s="13">
        <v>0</v>
      </c>
    </row>
    <row r="129" spans="1:4" x14ac:dyDescent="0.2">
      <c r="A129" s="32" t="s">
        <v>8</v>
      </c>
      <c r="B129" s="29" t="s">
        <v>59</v>
      </c>
      <c r="C129" s="29"/>
      <c r="D129" s="13">
        <v>0</v>
      </c>
    </row>
    <row r="130" spans="1:4" x14ac:dyDescent="0.2">
      <c r="A130" s="32" t="s">
        <v>10</v>
      </c>
      <c r="B130" s="29" t="s">
        <v>106</v>
      </c>
      <c r="C130" s="29"/>
      <c r="D130" s="13">
        <v>4.38</v>
      </c>
    </row>
    <row r="131" spans="1:4" x14ac:dyDescent="0.2">
      <c r="A131" s="89" t="s">
        <v>12</v>
      </c>
      <c r="B131" s="88" t="s">
        <v>268</v>
      </c>
      <c r="C131" s="88"/>
      <c r="D131" s="13">
        <v>0.28000000000000003</v>
      </c>
    </row>
    <row r="132" spans="1:4" x14ac:dyDescent="0.2">
      <c r="A132" s="99" t="s">
        <v>37</v>
      </c>
      <c r="B132" s="99"/>
      <c r="C132" s="99"/>
      <c r="D132" s="20">
        <f>SUM(D127:D131)</f>
        <v>12.6</v>
      </c>
    </row>
    <row r="135" spans="1:4" x14ac:dyDescent="0.2">
      <c r="A135" s="104" t="s">
        <v>60</v>
      </c>
      <c r="B135" s="104"/>
      <c r="C135" s="104"/>
      <c r="D135" s="104"/>
    </row>
    <row r="137" spans="1:4" x14ac:dyDescent="0.2">
      <c r="A137" s="30">
        <v>6</v>
      </c>
      <c r="B137" s="31" t="s">
        <v>61</v>
      </c>
      <c r="C137" s="30" t="s">
        <v>26</v>
      </c>
      <c r="D137" s="30" t="s">
        <v>3</v>
      </c>
    </row>
    <row r="138" spans="1:4" x14ac:dyDescent="0.2">
      <c r="A138" s="32" t="s">
        <v>4</v>
      </c>
      <c r="B138" s="29" t="s">
        <v>62</v>
      </c>
      <c r="C138" s="9">
        <v>0.05</v>
      </c>
      <c r="D138" s="14">
        <f>D158*C138</f>
        <v>174.34449999999998</v>
      </c>
    </row>
    <row r="139" spans="1:4" x14ac:dyDescent="0.2">
      <c r="A139" s="32" t="s">
        <v>6</v>
      </c>
      <c r="B139" s="29" t="s">
        <v>63</v>
      </c>
      <c r="C139" s="9">
        <v>0.06</v>
      </c>
      <c r="D139" s="13">
        <f>(D158+D138)*C139</f>
        <v>219.67406999999997</v>
      </c>
    </row>
    <row r="140" spans="1:4" x14ac:dyDescent="0.2">
      <c r="A140" s="32" t="s">
        <v>8</v>
      </c>
      <c r="B140" s="29" t="s">
        <v>64</v>
      </c>
      <c r="C140" s="12">
        <f>SUM(C141:C146)</f>
        <v>8.6499999999999994E-2</v>
      </c>
      <c r="D140" s="13">
        <f>(D158+D138+D139)*C140/(1-C140)</f>
        <v>367.48614264367808</v>
      </c>
    </row>
    <row r="141" spans="1:4" x14ac:dyDescent="0.2">
      <c r="A141" s="32"/>
      <c r="B141" s="29" t="s">
        <v>65</v>
      </c>
      <c r="C141" s="9"/>
      <c r="D141" s="14">
        <f>$D$160*C141</f>
        <v>0</v>
      </c>
    </row>
    <row r="142" spans="1:4" x14ac:dyDescent="0.2">
      <c r="A142" s="32"/>
      <c r="B142" s="29" t="s">
        <v>95</v>
      </c>
      <c r="C142" s="9">
        <v>6.4999999999999997E-3</v>
      </c>
      <c r="D142" s="14">
        <f t="shared" ref="D142:D146" si="3">$D$160*C142</f>
        <v>27.614535</v>
      </c>
    </row>
    <row r="143" spans="1:4" x14ac:dyDescent="0.2">
      <c r="A143" s="32"/>
      <c r="B143" s="29" t="s">
        <v>96</v>
      </c>
      <c r="C143" s="9">
        <v>0.03</v>
      </c>
      <c r="D143" s="14">
        <f t="shared" si="3"/>
        <v>127.4517</v>
      </c>
    </row>
    <row r="144" spans="1:4" x14ac:dyDescent="0.2">
      <c r="A144" s="32"/>
      <c r="B144" s="29" t="s">
        <v>66</v>
      </c>
      <c r="C144" s="32"/>
      <c r="D144" s="14">
        <f t="shared" si="3"/>
        <v>0</v>
      </c>
    </row>
    <row r="145" spans="1:4" x14ac:dyDescent="0.2">
      <c r="A145" s="32"/>
      <c r="B145" s="29" t="s">
        <v>67</v>
      </c>
      <c r="C145" s="9"/>
      <c r="D145" s="14">
        <f t="shared" si="3"/>
        <v>0</v>
      </c>
    </row>
    <row r="146" spans="1:4" x14ac:dyDescent="0.2">
      <c r="A146" s="32"/>
      <c r="B146" s="29" t="s">
        <v>97</v>
      </c>
      <c r="C146" s="9">
        <v>0.05</v>
      </c>
      <c r="D146" s="14">
        <f t="shared" si="3"/>
        <v>212.41950000000003</v>
      </c>
    </row>
    <row r="147" spans="1:4" ht="13.5" x14ac:dyDescent="0.2">
      <c r="A147" s="108" t="s">
        <v>37</v>
      </c>
      <c r="B147" s="109"/>
      <c r="C147" s="21">
        <f>(1+C139)*(1+C138)/(1-C140)-1</f>
        <v>0.21839080459770144</v>
      </c>
      <c r="D147" s="19">
        <f>SUM(D138:D140)</f>
        <v>761.50471264367798</v>
      </c>
    </row>
    <row r="150" spans="1:4" x14ac:dyDescent="0.2">
      <c r="A150" s="104" t="s">
        <v>68</v>
      </c>
      <c r="B150" s="104"/>
      <c r="C150" s="104"/>
      <c r="D150" s="104"/>
    </row>
    <row r="152" spans="1:4" x14ac:dyDescent="0.2">
      <c r="A152" s="30"/>
      <c r="B152" s="99" t="s">
        <v>69</v>
      </c>
      <c r="C152" s="99"/>
      <c r="D152" s="30" t="s">
        <v>3</v>
      </c>
    </row>
    <row r="153" spans="1:4" x14ac:dyDescent="0.2">
      <c r="A153" s="30" t="s">
        <v>4</v>
      </c>
      <c r="B153" s="100" t="s">
        <v>1</v>
      </c>
      <c r="C153" s="100"/>
      <c r="D153" s="22">
        <f>D35</f>
        <v>1530</v>
      </c>
    </row>
    <row r="154" spans="1:4" x14ac:dyDescent="0.2">
      <c r="A154" s="30" t="s">
        <v>6</v>
      </c>
      <c r="B154" s="100" t="s">
        <v>17</v>
      </c>
      <c r="C154" s="100"/>
      <c r="D154" s="22">
        <f>D79</f>
        <v>1784.2799999999997</v>
      </c>
    </row>
    <row r="155" spans="1:4" x14ac:dyDescent="0.2">
      <c r="A155" s="30" t="s">
        <v>8</v>
      </c>
      <c r="B155" s="100" t="s">
        <v>45</v>
      </c>
      <c r="C155" s="100"/>
      <c r="D155" s="22">
        <f>D91</f>
        <v>94.22</v>
      </c>
    </row>
    <row r="156" spans="1:4" x14ac:dyDescent="0.2">
      <c r="A156" s="30" t="s">
        <v>10</v>
      </c>
      <c r="B156" s="100" t="s">
        <v>50</v>
      </c>
      <c r="C156" s="100"/>
      <c r="D156" s="22">
        <f>D121</f>
        <v>65.790000000000006</v>
      </c>
    </row>
    <row r="157" spans="1:4" x14ac:dyDescent="0.2">
      <c r="A157" s="30" t="s">
        <v>12</v>
      </c>
      <c r="B157" s="100" t="s">
        <v>55</v>
      </c>
      <c r="C157" s="100"/>
      <c r="D157" s="22">
        <f>D132</f>
        <v>12.6</v>
      </c>
    </row>
    <row r="158" spans="1:4" x14ac:dyDescent="0.2">
      <c r="A158" s="99" t="s">
        <v>94</v>
      </c>
      <c r="B158" s="99"/>
      <c r="C158" s="99"/>
      <c r="D158" s="23">
        <f>SUM(D153:D157)</f>
        <v>3486.8899999999994</v>
      </c>
    </row>
    <row r="159" spans="1:4" x14ac:dyDescent="0.2">
      <c r="A159" s="30" t="s">
        <v>32</v>
      </c>
      <c r="B159" s="100" t="s">
        <v>70</v>
      </c>
      <c r="C159" s="100"/>
      <c r="D159" s="24">
        <f>D147</f>
        <v>761.50471264367798</v>
      </c>
    </row>
    <row r="160" spans="1:4" x14ac:dyDescent="0.2">
      <c r="A160" s="99" t="s">
        <v>71</v>
      </c>
      <c r="B160" s="99"/>
      <c r="C160" s="99"/>
      <c r="D160" s="23">
        <f>ROUND(SUM(D158:D159),2)</f>
        <v>4248.3900000000003</v>
      </c>
    </row>
  </sheetData>
  <mergeCells count="75">
    <mergeCell ref="B156:C156"/>
    <mergeCell ref="B157:C157"/>
    <mergeCell ref="A158:C158"/>
    <mergeCell ref="B159:C159"/>
    <mergeCell ref="A160:C160"/>
    <mergeCell ref="B155:C155"/>
    <mergeCell ref="B120:C120"/>
    <mergeCell ref="A121:C121"/>
    <mergeCell ref="A124:D124"/>
    <mergeCell ref="B126:C126"/>
    <mergeCell ref="A132:C132"/>
    <mergeCell ref="A135:D135"/>
    <mergeCell ref="A147:B147"/>
    <mergeCell ref="A150:D150"/>
    <mergeCell ref="B152:C152"/>
    <mergeCell ref="B153:C153"/>
    <mergeCell ref="B154:C154"/>
    <mergeCell ref="B119:C119"/>
    <mergeCell ref="A91:C91"/>
    <mergeCell ref="A94:D94"/>
    <mergeCell ref="A97:D97"/>
    <mergeCell ref="B99:C99"/>
    <mergeCell ref="A106:C106"/>
    <mergeCell ref="A109:D109"/>
    <mergeCell ref="B111:C111"/>
    <mergeCell ref="B112:C112"/>
    <mergeCell ref="A113:C113"/>
    <mergeCell ref="A116:D116"/>
    <mergeCell ref="B118:C118"/>
    <mergeCell ref="B84:C84"/>
    <mergeCell ref="B67:C67"/>
    <mergeCell ref="B68:C68"/>
    <mergeCell ref="B69:C69"/>
    <mergeCell ref="A70:C70"/>
    <mergeCell ref="A73:D73"/>
    <mergeCell ref="B75:C75"/>
    <mergeCell ref="B76:C76"/>
    <mergeCell ref="B77:C77"/>
    <mergeCell ref="B78:C78"/>
    <mergeCell ref="A79:C79"/>
    <mergeCell ref="A82:D82"/>
    <mergeCell ref="B66:C66"/>
    <mergeCell ref="B34:C34"/>
    <mergeCell ref="A35:C35"/>
    <mergeCell ref="A38:D38"/>
    <mergeCell ref="A40:D40"/>
    <mergeCell ref="B42:C42"/>
    <mergeCell ref="A45:B45"/>
    <mergeCell ref="A48:D48"/>
    <mergeCell ref="A59:B59"/>
    <mergeCell ref="A62:D62"/>
    <mergeCell ref="B64:C64"/>
    <mergeCell ref="B65:C65"/>
    <mergeCell ref="B33:C33"/>
    <mergeCell ref="C20:D20"/>
    <mergeCell ref="C21:D21"/>
    <mergeCell ref="C22:D22"/>
    <mergeCell ref="C23:D23"/>
    <mergeCell ref="A25:D25"/>
    <mergeCell ref="B27:C27"/>
    <mergeCell ref="B28:C28"/>
    <mergeCell ref="B29:C29"/>
    <mergeCell ref="B30:C30"/>
    <mergeCell ref="B31:C31"/>
    <mergeCell ref="B32:C32"/>
    <mergeCell ref="C19:D19"/>
    <mergeCell ref="A1:D1"/>
    <mergeCell ref="A12:D12"/>
    <mergeCell ref="A14:B14"/>
    <mergeCell ref="A15:B15"/>
    <mergeCell ref="A17:D17"/>
    <mergeCell ref="A3:D3"/>
    <mergeCell ref="A5:D5"/>
    <mergeCell ref="B9:C9"/>
    <mergeCell ref="B10:C10"/>
  </mergeCells>
  <pageMargins left="0.51181102362204722" right="0.51181102362204722" top="0.78740157480314965" bottom="0.78740157480314965" header="0.31496062992125984" footer="0.31496062992125984"/>
  <pageSetup paperSize="9" scale="84" fitToHeight="0" orientation="portrait" r:id="rId1"/>
  <headerFooter>
    <oddHeader>&amp;C&amp;G</oddHead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9"/>
  <sheetViews>
    <sheetView topLeftCell="A56" zoomScale="115" zoomScaleNormal="115" workbookViewId="0">
      <selection activeCell="C7" sqref="C7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113" t="s">
        <v>0</v>
      </c>
      <c r="B1" s="113"/>
      <c r="C1" s="113"/>
      <c r="D1" s="113"/>
    </row>
    <row r="2" spans="1:4" ht="15.75" x14ac:dyDescent="0.25">
      <c r="A2" s="26"/>
      <c r="B2" s="26"/>
      <c r="C2" s="26"/>
      <c r="D2" s="26"/>
    </row>
    <row r="3" spans="1:4" x14ac:dyDescent="0.2">
      <c r="A3" s="90" t="s">
        <v>255</v>
      </c>
      <c r="B3" s="90"/>
      <c r="C3" s="90"/>
      <c r="D3" s="90"/>
    </row>
    <row r="4" spans="1:4" x14ac:dyDescent="0.2">
      <c r="A4" s="2"/>
      <c r="B4" s="2"/>
      <c r="C4" s="2"/>
      <c r="D4" s="2"/>
    </row>
    <row r="5" spans="1:4" x14ac:dyDescent="0.2">
      <c r="A5" s="91" t="s">
        <v>256</v>
      </c>
      <c r="B5" s="92"/>
      <c r="C5" s="92"/>
      <c r="D5" s="93"/>
    </row>
    <row r="6" spans="1:4" x14ac:dyDescent="0.2">
      <c r="A6" s="83" t="s">
        <v>4</v>
      </c>
      <c r="B6" s="84" t="s">
        <v>257</v>
      </c>
      <c r="C6" s="85"/>
      <c r="D6" s="86" t="s">
        <v>262</v>
      </c>
    </row>
    <row r="7" spans="1:4" x14ac:dyDescent="0.2">
      <c r="A7" s="83" t="s">
        <v>6</v>
      </c>
      <c r="B7" s="84" t="s">
        <v>258</v>
      </c>
      <c r="C7" s="85"/>
      <c r="D7" s="86" t="s">
        <v>263</v>
      </c>
    </row>
    <row r="8" spans="1:4" x14ac:dyDescent="0.2">
      <c r="A8" s="83" t="s">
        <v>8</v>
      </c>
      <c r="B8" s="84" t="s">
        <v>259</v>
      </c>
      <c r="C8" s="85"/>
      <c r="D8" s="87">
        <v>45785</v>
      </c>
    </row>
    <row r="9" spans="1:4" x14ac:dyDescent="0.2">
      <c r="A9" s="83" t="s">
        <v>10</v>
      </c>
      <c r="B9" s="94" t="s">
        <v>264</v>
      </c>
      <c r="C9" s="95"/>
      <c r="D9" s="86" t="s">
        <v>260</v>
      </c>
    </row>
    <row r="10" spans="1:4" x14ac:dyDescent="0.2">
      <c r="A10" s="83" t="s">
        <v>12</v>
      </c>
      <c r="B10" s="94" t="s">
        <v>265</v>
      </c>
      <c r="C10" s="95"/>
      <c r="D10" s="86" t="s">
        <v>261</v>
      </c>
    </row>
    <row r="12" spans="1:4" x14ac:dyDescent="0.2">
      <c r="A12" s="103" t="s">
        <v>88</v>
      </c>
      <c r="B12" s="103"/>
      <c r="C12" s="103"/>
      <c r="D12" s="103"/>
    </row>
    <row r="13" spans="1:4" x14ac:dyDescent="0.2">
      <c r="A13" s="2"/>
      <c r="B13" s="2"/>
      <c r="C13" s="2"/>
      <c r="D13" s="2"/>
    </row>
    <row r="14" spans="1:4" ht="38.25" x14ac:dyDescent="0.2">
      <c r="A14" s="115" t="s">
        <v>89</v>
      </c>
      <c r="B14" s="115"/>
      <c r="C14" s="32" t="s">
        <v>90</v>
      </c>
      <c r="D14" s="27" t="s">
        <v>91</v>
      </c>
    </row>
    <row r="15" spans="1:4" x14ac:dyDescent="0.2">
      <c r="A15" s="96" t="s">
        <v>186</v>
      </c>
      <c r="B15" s="96"/>
      <c r="C15" s="33" t="s">
        <v>101</v>
      </c>
      <c r="D15" s="33">
        <v>10</v>
      </c>
    </row>
    <row r="17" spans="1:4" x14ac:dyDescent="0.2">
      <c r="A17" s="103" t="s">
        <v>72</v>
      </c>
      <c r="B17" s="103"/>
      <c r="C17" s="103"/>
      <c r="D17" s="103"/>
    </row>
    <row r="18" spans="1:4" x14ac:dyDescent="0.2">
      <c r="A18" s="2"/>
      <c r="B18" s="2"/>
      <c r="C18" s="2"/>
      <c r="D18" s="2"/>
    </row>
    <row r="19" spans="1:4" x14ac:dyDescent="0.2">
      <c r="A19" s="5">
        <v>1</v>
      </c>
      <c r="B19" s="5" t="s">
        <v>73</v>
      </c>
      <c r="C19" s="97" t="s">
        <v>117</v>
      </c>
      <c r="D19" s="98"/>
    </row>
    <row r="20" spans="1:4" x14ac:dyDescent="0.2">
      <c r="A20" s="5">
        <v>2</v>
      </c>
      <c r="B20" s="5" t="s">
        <v>92</v>
      </c>
      <c r="C20" s="97" t="s">
        <v>118</v>
      </c>
      <c r="D20" s="98"/>
    </row>
    <row r="21" spans="1:4" x14ac:dyDescent="0.2">
      <c r="A21" s="5">
        <v>3</v>
      </c>
      <c r="B21" s="5" t="s">
        <v>74</v>
      </c>
      <c r="C21" s="101">
        <v>1530</v>
      </c>
      <c r="D21" s="102"/>
    </row>
    <row r="22" spans="1:4" x14ac:dyDescent="0.2">
      <c r="A22" s="5">
        <v>4</v>
      </c>
      <c r="B22" s="5" t="s">
        <v>75</v>
      </c>
      <c r="C22" s="97"/>
      <c r="D22" s="98"/>
    </row>
    <row r="23" spans="1:4" x14ac:dyDescent="0.2">
      <c r="A23" s="5">
        <v>5</v>
      </c>
      <c r="B23" s="5" t="s">
        <v>76</v>
      </c>
      <c r="C23" s="97"/>
      <c r="D23" s="98"/>
    </row>
    <row r="25" spans="1:4" x14ac:dyDescent="0.2">
      <c r="A25" s="103" t="s">
        <v>1</v>
      </c>
      <c r="B25" s="103"/>
      <c r="C25" s="103"/>
      <c r="D25" s="103"/>
    </row>
    <row r="27" spans="1:4" x14ac:dyDescent="0.2">
      <c r="A27" s="30">
        <v>1</v>
      </c>
      <c r="B27" s="99" t="s">
        <v>2</v>
      </c>
      <c r="C27" s="99"/>
      <c r="D27" s="30" t="s">
        <v>3</v>
      </c>
    </row>
    <row r="28" spans="1:4" x14ac:dyDescent="0.2">
      <c r="A28" s="32" t="s">
        <v>4</v>
      </c>
      <c r="B28" s="100" t="s">
        <v>5</v>
      </c>
      <c r="C28" s="100"/>
      <c r="D28" s="13">
        <v>1530</v>
      </c>
    </row>
    <row r="29" spans="1:4" x14ac:dyDescent="0.2">
      <c r="A29" s="32" t="s">
        <v>6</v>
      </c>
      <c r="B29" s="100" t="s">
        <v>7</v>
      </c>
      <c r="C29" s="100"/>
      <c r="D29" s="13"/>
    </row>
    <row r="30" spans="1:4" x14ac:dyDescent="0.2">
      <c r="A30" s="32" t="s">
        <v>8</v>
      </c>
      <c r="B30" s="100" t="s">
        <v>9</v>
      </c>
      <c r="C30" s="100"/>
      <c r="D30" s="13">
        <f>1518*0.2</f>
        <v>303.60000000000002</v>
      </c>
    </row>
    <row r="31" spans="1:4" x14ac:dyDescent="0.2">
      <c r="A31" s="32" t="s">
        <v>10</v>
      </c>
      <c r="B31" s="100" t="s">
        <v>11</v>
      </c>
      <c r="C31" s="100"/>
      <c r="D31" s="13"/>
    </row>
    <row r="32" spans="1:4" x14ac:dyDescent="0.2">
      <c r="A32" s="32" t="s">
        <v>12</v>
      </c>
      <c r="B32" s="100" t="s">
        <v>13</v>
      </c>
      <c r="C32" s="100"/>
      <c r="D32" s="13"/>
    </row>
    <row r="33" spans="1:4" x14ac:dyDescent="0.2">
      <c r="A33" s="32"/>
      <c r="B33" s="100"/>
      <c r="C33" s="100"/>
      <c r="D33" s="13"/>
    </row>
    <row r="34" spans="1:4" x14ac:dyDescent="0.2">
      <c r="A34" s="32" t="s">
        <v>14</v>
      </c>
      <c r="B34" s="100" t="s">
        <v>15</v>
      </c>
      <c r="C34" s="100"/>
      <c r="D34" s="13"/>
    </row>
    <row r="35" spans="1:4" x14ac:dyDescent="0.2">
      <c r="A35" s="99" t="s">
        <v>16</v>
      </c>
      <c r="B35" s="99"/>
      <c r="C35" s="99"/>
      <c r="D35" s="20">
        <f>SUM(D28:D34)</f>
        <v>1833.6</v>
      </c>
    </row>
    <row r="38" spans="1:4" x14ac:dyDescent="0.2">
      <c r="A38" s="104" t="s">
        <v>17</v>
      </c>
      <c r="B38" s="104"/>
      <c r="C38" s="104"/>
      <c r="D38" s="104"/>
    </row>
    <row r="39" spans="1:4" x14ac:dyDescent="0.2">
      <c r="A39" s="3"/>
    </row>
    <row r="40" spans="1:4" x14ac:dyDescent="0.2">
      <c r="A40" s="111" t="s">
        <v>18</v>
      </c>
      <c r="B40" s="111"/>
      <c r="C40" s="111"/>
      <c r="D40" s="111"/>
    </row>
    <row r="42" spans="1:4" x14ac:dyDescent="0.2">
      <c r="A42" s="30" t="s">
        <v>19</v>
      </c>
      <c r="B42" s="99" t="s">
        <v>20</v>
      </c>
      <c r="C42" s="99"/>
      <c r="D42" s="30" t="s">
        <v>3</v>
      </c>
    </row>
    <row r="43" spans="1:4" x14ac:dyDescent="0.2">
      <c r="A43" s="32" t="s">
        <v>4</v>
      </c>
      <c r="B43" s="29" t="s">
        <v>21</v>
      </c>
      <c r="C43" s="12">
        <f>TRUNC(1/12,4)</f>
        <v>8.3299999999999999E-2</v>
      </c>
      <c r="D43" s="13">
        <f>TRUNC($D$35*C43,2)</f>
        <v>152.72999999999999</v>
      </c>
    </row>
    <row r="44" spans="1:4" x14ac:dyDescent="0.2">
      <c r="A44" s="32" t="s">
        <v>6</v>
      </c>
      <c r="B44" s="29" t="s">
        <v>22</v>
      </c>
      <c r="C44" s="12">
        <f>TRUNC(((1+1/3)/12),4)</f>
        <v>0.1111</v>
      </c>
      <c r="D44" s="13">
        <f>TRUNC($D$35*C44,2)</f>
        <v>203.71</v>
      </c>
    </row>
    <row r="45" spans="1:4" x14ac:dyDescent="0.2">
      <c r="A45" s="99" t="s">
        <v>16</v>
      </c>
      <c r="B45" s="99"/>
      <c r="C45" s="28">
        <f>SUM(C43:C44)</f>
        <v>0.19440000000000002</v>
      </c>
      <c r="D45" s="19">
        <f>SUM(D43:D44)</f>
        <v>356.44</v>
      </c>
    </row>
    <row r="48" spans="1:4" x14ac:dyDescent="0.2">
      <c r="A48" s="114" t="s">
        <v>23</v>
      </c>
      <c r="B48" s="114"/>
      <c r="C48" s="114"/>
      <c r="D48" s="114"/>
    </row>
    <row r="50" spans="1:4" x14ac:dyDescent="0.2">
      <c r="A50" s="30" t="s">
        <v>24</v>
      </c>
      <c r="B50" s="30" t="s">
        <v>25</v>
      </c>
      <c r="C50" s="30" t="s">
        <v>26</v>
      </c>
      <c r="D50" s="30" t="s">
        <v>3</v>
      </c>
    </row>
    <row r="51" spans="1:4" x14ac:dyDescent="0.2">
      <c r="A51" s="32" t="s">
        <v>4</v>
      </c>
      <c r="B51" s="29" t="s">
        <v>27</v>
      </c>
      <c r="C51" s="9">
        <v>0.2</v>
      </c>
      <c r="D51" s="13">
        <f>TRUNC(($D$35+$D$45)*C51,2)</f>
        <v>438</v>
      </c>
    </row>
    <row r="52" spans="1:4" x14ac:dyDescent="0.2">
      <c r="A52" s="32" t="s">
        <v>6</v>
      </c>
      <c r="B52" s="29" t="s">
        <v>28</v>
      </c>
      <c r="C52" s="9">
        <v>2.5000000000000001E-2</v>
      </c>
      <c r="D52" s="13">
        <f t="shared" ref="D52:D58" si="0">TRUNC(($D$35+$D$45)*C52,2)</f>
        <v>54.75</v>
      </c>
    </row>
    <row r="53" spans="1:4" x14ac:dyDescent="0.2">
      <c r="A53" s="32" t="s">
        <v>8</v>
      </c>
      <c r="B53" s="29" t="s">
        <v>29</v>
      </c>
      <c r="C53" s="16">
        <v>0.03</v>
      </c>
      <c r="D53" s="13">
        <f t="shared" si="0"/>
        <v>65.7</v>
      </c>
    </row>
    <row r="54" spans="1:4" x14ac:dyDescent="0.2">
      <c r="A54" s="32" t="s">
        <v>10</v>
      </c>
      <c r="B54" s="29" t="s">
        <v>30</v>
      </c>
      <c r="C54" s="9">
        <v>1.4999999999999999E-2</v>
      </c>
      <c r="D54" s="13">
        <f t="shared" si="0"/>
        <v>32.85</v>
      </c>
    </row>
    <row r="55" spans="1:4" x14ac:dyDescent="0.2">
      <c r="A55" s="32" t="s">
        <v>12</v>
      </c>
      <c r="B55" s="29" t="s">
        <v>31</v>
      </c>
      <c r="C55" s="9">
        <v>0.01</v>
      </c>
      <c r="D55" s="13">
        <f t="shared" si="0"/>
        <v>21.9</v>
      </c>
    </row>
    <row r="56" spans="1:4" x14ac:dyDescent="0.2">
      <c r="A56" s="32" t="s">
        <v>32</v>
      </c>
      <c r="B56" s="29" t="s">
        <v>33</v>
      </c>
      <c r="C56" s="9">
        <v>6.0000000000000001E-3</v>
      </c>
      <c r="D56" s="13">
        <f t="shared" si="0"/>
        <v>13.14</v>
      </c>
    </row>
    <row r="57" spans="1:4" x14ac:dyDescent="0.2">
      <c r="A57" s="32" t="s">
        <v>14</v>
      </c>
      <c r="B57" s="29" t="s">
        <v>34</v>
      </c>
      <c r="C57" s="9">
        <v>2E-3</v>
      </c>
      <c r="D57" s="13">
        <f t="shared" si="0"/>
        <v>4.38</v>
      </c>
    </row>
    <row r="58" spans="1:4" x14ac:dyDescent="0.2">
      <c r="A58" s="32" t="s">
        <v>35</v>
      </c>
      <c r="B58" s="29" t="s">
        <v>36</v>
      </c>
      <c r="C58" s="9">
        <v>0.08</v>
      </c>
      <c r="D58" s="13">
        <f t="shared" si="0"/>
        <v>175.2</v>
      </c>
    </row>
    <row r="59" spans="1:4" x14ac:dyDescent="0.2">
      <c r="A59" s="99" t="s">
        <v>37</v>
      </c>
      <c r="B59" s="99"/>
      <c r="C59" s="15">
        <f>SUM(C51:C58)</f>
        <v>0.36800000000000005</v>
      </c>
      <c r="D59" s="19">
        <f>SUM(D51:D58)</f>
        <v>805.92000000000007</v>
      </c>
    </row>
    <row r="62" spans="1:4" x14ac:dyDescent="0.2">
      <c r="A62" s="111" t="s">
        <v>38</v>
      </c>
      <c r="B62" s="111"/>
      <c r="C62" s="111"/>
      <c r="D62" s="111"/>
    </row>
    <row r="64" spans="1:4" x14ac:dyDescent="0.2">
      <c r="A64" s="30" t="s">
        <v>39</v>
      </c>
      <c r="B64" s="110" t="s">
        <v>40</v>
      </c>
      <c r="C64" s="110"/>
      <c r="D64" s="30" t="s">
        <v>3</v>
      </c>
    </row>
    <row r="65" spans="1:5" x14ac:dyDescent="0.2">
      <c r="A65" s="32" t="s">
        <v>4</v>
      </c>
      <c r="B65" s="100" t="s">
        <v>41</v>
      </c>
      <c r="C65" s="100"/>
      <c r="D65" s="13">
        <f>IF((22*2*5.6)-(D28*0.06)&gt;0,(22*2*5.6)-(D28*0.06),0)</f>
        <v>154.59999999999997</v>
      </c>
    </row>
    <row r="66" spans="1:5" x14ac:dyDescent="0.2">
      <c r="A66" s="32" t="s">
        <v>6</v>
      </c>
      <c r="B66" s="100" t="s">
        <v>42</v>
      </c>
      <c r="C66" s="100"/>
      <c r="D66" s="13">
        <f>20*0.8*22</f>
        <v>352</v>
      </c>
    </row>
    <row r="67" spans="1:5" x14ac:dyDescent="0.2">
      <c r="A67" s="32" t="s">
        <v>8</v>
      </c>
      <c r="B67" s="100" t="s">
        <v>103</v>
      </c>
      <c r="C67" s="100"/>
      <c r="D67" s="13">
        <v>280</v>
      </c>
    </row>
    <row r="68" spans="1:5" x14ac:dyDescent="0.2">
      <c r="A68" s="32" t="s">
        <v>10</v>
      </c>
      <c r="B68" s="100" t="s">
        <v>104</v>
      </c>
      <c r="C68" s="100"/>
      <c r="D68" s="13">
        <v>23</v>
      </c>
    </row>
    <row r="69" spans="1:5" x14ac:dyDescent="0.2">
      <c r="A69" s="32" t="s">
        <v>12</v>
      </c>
      <c r="B69" s="100" t="s">
        <v>105</v>
      </c>
      <c r="C69" s="100"/>
      <c r="D69" s="13">
        <v>4.8</v>
      </c>
    </row>
    <row r="70" spans="1:5" x14ac:dyDescent="0.2">
      <c r="A70" s="99" t="s">
        <v>16</v>
      </c>
      <c r="B70" s="99"/>
      <c r="C70" s="99"/>
      <c r="D70" s="19">
        <f>SUM(D65:D69)</f>
        <v>814.39999999999986</v>
      </c>
    </row>
    <row r="71" spans="1:5" x14ac:dyDescent="0.2">
      <c r="E71" s="18"/>
    </row>
    <row r="73" spans="1:5" x14ac:dyDescent="0.2">
      <c r="A73" s="111" t="s">
        <v>43</v>
      </c>
      <c r="B73" s="111"/>
      <c r="C73" s="111"/>
      <c r="D73" s="111"/>
      <c r="E73" s="17"/>
    </row>
    <row r="74" spans="1:5" ht="12.75" customHeight="1" x14ac:dyDescent="0.2">
      <c r="E74" s="18"/>
    </row>
    <row r="75" spans="1:5" x14ac:dyDescent="0.2">
      <c r="A75" s="30">
        <v>2</v>
      </c>
      <c r="B75" s="110" t="s">
        <v>44</v>
      </c>
      <c r="C75" s="110"/>
      <c r="D75" s="30" t="s">
        <v>3</v>
      </c>
    </row>
    <row r="76" spans="1:5" x14ac:dyDescent="0.2">
      <c r="A76" s="32" t="s">
        <v>19</v>
      </c>
      <c r="B76" s="100" t="s">
        <v>20</v>
      </c>
      <c r="C76" s="100"/>
      <c r="D76" s="14">
        <f>D45</f>
        <v>356.44</v>
      </c>
    </row>
    <row r="77" spans="1:5" x14ac:dyDescent="0.2">
      <c r="A77" s="32" t="s">
        <v>24</v>
      </c>
      <c r="B77" s="100" t="s">
        <v>25</v>
      </c>
      <c r="C77" s="100"/>
      <c r="D77" s="14">
        <f>D59</f>
        <v>805.92000000000007</v>
      </c>
    </row>
    <row r="78" spans="1:5" x14ac:dyDescent="0.2">
      <c r="A78" s="32" t="s">
        <v>39</v>
      </c>
      <c r="B78" s="100" t="s">
        <v>40</v>
      </c>
      <c r="C78" s="100"/>
      <c r="D78" s="14">
        <f>D70</f>
        <v>814.39999999999986</v>
      </c>
    </row>
    <row r="79" spans="1:5" x14ac:dyDescent="0.2">
      <c r="A79" s="99" t="s">
        <v>16</v>
      </c>
      <c r="B79" s="99"/>
      <c r="C79" s="99"/>
      <c r="D79" s="19">
        <f>SUM(D76:D78)</f>
        <v>1976.76</v>
      </c>
    </row>
    <row r="80" spans="1:5" x14ac:dyDescent="0.2">
      <c r="A80" s="4"/>
    </row>
    <row r="82" spans="1:4" x14ac:dyDescent="0.2">
      <c r="A82" s="104" t="s">
        <v>45</v>
      </c>
      <c r="B82" s="104"/>
      <c r="C82" s="104"/>
      <c r="D82" s="104"/>
    </row>
    <row r="84" spans="1:4" x14ac:dyDescent="0.2">
      <c r="A84" s="30">
        <v>3</v>
      </c>
      <c r="B84" s="110" t="s">
        <v>46</v>
      </c>
      <c r="C84" s="110"/>
      <c r="D84" s="30" t="s">
        <v>3</v>
      </c>
    </row>
    <row r="85" spans="1:4" x14ac:dyDescent="0.2">
      <c r="A85" s="32" t="s">
        <v>4</v>
      </c>
      <c r="B85" s="10" t="s">
        <v>47</v>
      </c>
      <c r="C85" s="9">
        <f>TRUNC(((1/12)*0%),4)</f>
        <v>0</v>
      </c>
      <c r="D85" s="13">
        <f>TRUNC($D$35*C85,2)</f>
        <v>0</v>
      </c>
    </row>
    <row r="86" spans="1:4" x14ac:dyDescent="0.2">
      <c r="A86" s="32" t="s">
        <v>6</v>
      </c>
      <c r="B86" s="10" t="s">
        <v>48</v>
      </c>
      <c r="C86" s="9">
        <v>0.08</v>
      </c>
      <c r="D86" s="13">
        <f>TRUNC(D85*C86,2)</f>
        <v>0</v>
      </c>
    </row>
    <row r="87" spans="1:4" x14ac:dyDescent="0.2">
      <c r="A87" s="32" t="s">
        <v>8</v>
      </c>
      <c r="B87" s="10" t="s">
        <v>98</v>
      </c>
      <c r="C87" s="9">
        <f>TRUNC(8%*0%*40%,4)</f>
        <v>0</v>
      </c>
      <c r="D87" s="13">
        <f>TRUNC($D$35*C87,2)</f>
        <v>0</v>
      </c>
    </row>
    <row r="88" spans="1:4" x14ac:dyDescent="0.2">
      <c r="A88" s="32" t="s">
        <v>10</v>
      </c>
      <c r="B88" s="10" t="s">
        <v>49</v>
      </c>
      <c r="C88" s="9">
        <f>TRUNC(((7/30)/12)*0%,4)</f>
        <v>0</v>
      </c>
      <c r="D88" s="13">
        <f>TRUNC($D$35*C88,2)</f>
        <v>0</v>
      </c>
    </row>
    <row r="89" spans="1:4" ht="25.5" x14ac:dyDescent="0.2">
      <c r="A89" s="32" t="s">
        <v>12</v>
      </c>
      <c r="B89" s="10" t="s">
        <v>93</v>
      </c>
      <c r="C89" s="9">
        <f>C59</f>
        <v>0.36800000000000005</v>
      </c>
      <c r="D89" s="13">
        <f>TRUNC(D88*C89,2)</f>
        <v>0</v>
      </c>
    </row>
    <row r="90" spans="1:4" x14ac:dyDescent="0.2">
      <c r="A90" s="32" t="s">
        <v>32</v>
      </c>
      <c r="B90" s="10" t="s">
        <v>99</v>
      </c>
      <c r="C90" s="9">
        <f>TRUNC(8%*0%*40%,4)</f>
        <v>0</v>
      </c>
      <c r="D90" s="13">
        <f t="shared" ref="D90" si="1">TRUNC($D$35*C90,2)</f>
        <v>0</v>
      </c>
    </row>
    <row r="91" spans="1:4" x14ac:dyDescent="0.2">
      <c r="A91" s="108" t="s">
        <v>16</v>
      </c>
      <c r="B91" s="109"/>
      <c r="C91" s="112"/>
      <c r="D91" s="19">
        <f>SUM(D85:D90)</f>
        <v>0</v>
      </c>
    </row>
    <row r="94" spans="1:4" x14ac:dyDescent="0.2">
      <c r="A94" s="104" t="s">
        <v>50</v>
      </c>
      <c r="B94" s="104"/>
      <c r="C94" s="104"/>
      <c r="D94" s="104"/>
    </row>
    <row r="97" spans="1:6" x14ac:dyDescent="0.2">
      <c r="A97" s="111" t="s">
        <v>77</v>
      </c>
      <c r="B97" s="111"/>
      <c r="C97" s="111"/>
      <c r="D97" s="111"/>
      <c r="E97" s="17"/>
      <c r="F97" s="17"/>
    </row>
    <row r="98" spans="1:6" x14ac:dyDescent="0.2">
      <c r="A98" s="3"/>
    </row>
    <row r="99" spans="1:6" x14ac:dyDescent="0.2">
      <c r="A99" s="30" t="s">
        <v>51</v>
      </c>
      <c r="B99" s="110" t="s">
        <v>78</v>
      </c>
      <c r="C99" s="110"/>
      <c r="D99" s="30" t="s">
        <v>3</v>
      </c>
    </row>
    <row r="100" spans="1:6" x14ac:dyDescent="0.2">
      <c r="A100" s="32" t="s">
        <v>4</v>
      </c>
      <c r="B100" s="29" t="s">
        <v>79</v>
      </c>
      <c r="C100" s="9">
        <f>TRUNC(((1+1/3)/12)/12,4)*0</f>
        <v>0</v>
      </c>
      <c r="D100" s="13">
        <f>TRUNC(($D$35+$D$79+$D$91)*C100,2)</f>
        <v>0</v>
      </c>
    </row>
    <row r="101" spans="1:6" x14ac:dyDescent="0.2">
      <c r="A101" s="32" t="s">
        <v>6</v>
      </c>
      <c r="B101" s="29" t="s">
        <v>80</v>
      </c>
      <c r="C101" s="9">
        <f>TRUNC(((2/30)/12),4)</f>
        <v>5.4999999999999997E-3</v>
      </c>
      <c r="D101" s="13">
        <f t="shared" ref="D101:D105" si="2">TRUNC(($D$35+$D$79+$D$91)*C101,2)</f>
        <v>20.95</v>
      </c>
    </row>
    <row r="102" spans="1:6" x14ac:dyDescent="0.2">
      <c r="A102" s="32" t="s">
        <v>8</v>
      </c>
      <c r="B102" s="29" t="s">
        <v>81</v>
      </c>
      <c r="C102" s="9">
        <f>TRUNC(((5/30)/12)*2%,4)*0</f>
        <v>0</v>
      </c>
      <c r="D102" s="13">
        <f t="shared" si="2"/>
        <v>0</v>
      </c>
    </row>
    <row r="103" spans="1:6" x14ac:dyDescent="0.2">
      <c r="A103" s="32" t="s">
        <v>10</v>
      </c>
      <c r="B103" s="29" t="s">
        <v>82</v>
      </c>
      <c r="C103" s="9">
        <f>TRUNC(((15/30)/12)*8%,4)*0</f>
        <v>0</v>
      </c>
      <c r="D103" s="13">
        <f t="shared" si="2"/>
        <v>0</v>
      </c>
    </row>
    <row r="104" spans="1:6" x14ac:dyDescent="0.2">
      <c r="A104" s="32" t="s">
        <v>12</v>
      </c>
      <c r="B104" s="29" t="s">
        <v>83</v>
      </c>
      <c r="C104" s="9">
        <f>((1+1/3)/12)*3%*(4/12)*0</f>
        <v>0</v>
      </c>
      <c r="D104" s="13">
        <f t="shared" si="2"/>
        <v>0</v>
      </c>
    </row>
    <row r="105" spans="1:6" x14ac:dyDescent="0.2">
      <c r="A105" s="32" t="s">
        <v>32</v>
      </c>
      <c r="B105" s="29" t="s">
        <v>84</v>
      </c>
      <c r="C105" s="9"/>
      <c r="D105" s="13">
        <f t="shared" si="2"/>
        <v>0</v>
      </c>
    </row>
    <row r="106" spans="1:6" x14ac:dyDescent="0.2">
      <c r="A106" s="99" t="s">
        <v>37</v>
      </c>
      <c r="B106" s="99"/>
      <c r="C106" s="99"/>
      <c r="D106" s="19">
        <f>SUM(D100:D105)</f>
        <v>20.95</v>
      </c>
    </row>
    <row r="109" spans="1:6" x14ac:dyDescent="0.2">
      <c r="A109" s="111" t="s">
        <v>85</v>
      </c>
      <c r="B109" s="111"/>
      <c r="C109" s="111"/>
      <c r="D109" s="111"/>
    </row>
    <row r="110" spans="1:6" x14ac:dyDescent="0.2">
      <c r="A110" s="3"/>
    </row>
    <row r="111" spans="1:6" x14ac:dyDescent="0.2">
      <c r="A111" s="30" t="s">
        <v>52</v>
      </c>
      <c r="B111" s="110" t="s">
        <v>86</v>
      </c>
      <c r="C111" s="110"/>
      <c r="D111" s="30" t="s">
        <v>3</v>
      </c>
    </row>
    <row r="112" spans="1:6" x14ac:dyDescent="0.2">
      <c r="A112" s="32" t="s">
        <v>4</v>
      </c>
      <c r="B112" s="105" t="s">
        <v>87</v>
      </c>
      <c r="C112" s="106"/>
      <c r="D112" s="13">
        <f>((D35+D79+D91)/220)*22*0</f>
        <v>0</v>
      </c>
    </row>
    <row r="113" spans="1:4" x14ac:dyDescent="0.2">
      <c r="A113" s="99" t="s">
        <v>16</v>
      </c>
      <c r="B113" s="99"/>
      <c r="C113" s="99"/>
      <c r="D113" s="19">
        <f>SUM(D112)</f>
        <v>0</v>
      </c>
    </row>
    <row r="116" spans="1:4" x14ac:dyDescent="0.2">
      <c r="A116" s="111" t="s">
        <v>53</v>
      </c>
      <c r="B116" s="111"/>
      <c r="C116" s="111"/>
      <c r="D116" s="111"/>
    </row>
    <row r="117" spans="1:4" x14ac:dyDescent="0.2">
      <c r="A117" s="3"/>
    </row>
    <row r="118" spans="1:4" x14ac:dyDescent="0.2">
      <c r="A118" s="30">
        <v>4</v>
      </c>
      <c r="B118" s="99" t="s">
        <v>54</v>
      </c>
      <c r="C118" s="99"/>
      <c r="D118" s="30" t="s">
        <v>3</v>
      </c>
    </row>
    <row r="119" spans="1:4" x14ac:dyDescent="0.2">
      <c r="A119" s="32" t="s">
        <v>51</v>
      </c>
      <c r="B119" s="100" t="s">
        <v>78</v>
      </c>
      <c r="C119" s="100"/>
      <c r="D119" s="14">
        <f>D106</f>
        <v>20.95</v>
      </c>
    </row>
    <row r="120" spans="1:4" x14ac:dyDescent="0.2">
      <c r="A120" s="32" t="s">
        <v>52</v>
      </c>
      <c r="B120" s="100" t="s">
        <v>86</v>
      </c>
      <c r="C120" s="100"/>
      <c r="D120" s="14">
        <f>D113</f>
        <v>0</v>
      </c>
    </row>
    <row r="121" spans="1:4" x14ac:dyDescent="0.2">
      <c r="A121" s="99" t="s">
        <v>16</v>
      </c>
      <c r="B121" s="99"/>
      <c r="C121" s="99"/>
      <c r="D121" s="19">
        <f>SUM(D119:D120)</f>
        <v>20.95</v>
      </c>
    </row>
    <row r="124" spans="1:4" x14ac:dyDescent="0.2">
      <c r="A124" s="104" t="s">
        <v>55</v>
      </c>
      <c r="B124" s="104"/>
      <c r="C124" s="104"/>
      <c r="D124" s="104"/>
    </row>
    <row r="126" spans="1:4" x14ac:dyDescent="0.2">
      <c r="A126" s="30">
        <v>5</v>
      </c>
      <c r="B126" s="107" t="s">
        <v>56</v>
      </c>
      <c r="C126" s="107"/>
      <c r="D126" s="30" t="s">
        <v>3</v>
      </c>
    </row>
    <row r="127" spans="1:4" x14ac:dyDescent="0.2">
      <c r="A127" s="32" t="s">
        <v>4</v>
      </c>
      <c r="B127" s="29" t="s">
        <v>57</v>
      </c>
      <c r="C127" s="29"/>
      <c r="D127" s="13">
        <v>63.53</v>
      </c>
    </row>
    <row r="128" spans="1:4" x14ac:dyDescent="0.2">
      <c r="A128" s="32" t="s">
        <v>6</v>
      </c>
      <c r="B128" s="29" t="s">
        <v>58</v>
      </c>
      <c r="C128" s="29"/>
      <c r="D128" s="13">
        <v>0</v>
      </c>
    </row>
    <row r="129" spans="1:4" x14ac:dyDescent="0.2">
      <c r="A129" s="32" t="s">
        <v>8</v>
      </c>
      <c r="B129" s="29" t="s">
        <v>59</v>
      </c>
      <c r="C129" s="29"/>
      <c r="D129" s="13">
        <v>0</v>
      </c>
    </row>
    <row r="130" spans="1:4" x14ac:dyDescent="0.2">
      <c r="A130" s="32" t="s">
        <v>10</v>
      </c>
      <c r="B130" s="29" t="s">
        <v>106</v>
      </c>
      <c r="C130" s="29"/>
      <c r="D130" s="13">
        <v>0</v>
      </c>
    </row>
    <row r="131" spans="1:4" x14ac:dyDescent="0.2">
      <c r="A131" s="99" t="s">
        <v>37</v>
      </c>
      <c r="B131" s="99"/>
      <c r="C131" s="99"/>
      <c r="D131" s="20">
        <f>SUM(D127:D130)</f>
        <v>63.53</v>
      </c>
    </row>
    <row r="134" spans="1:4" x14ac:dyDescent="0.2">
      <c r="A134" s="104" t="s">
        <v>60</v>
      </c>
      <c r="B134" s="104"/>
      <c r="C134" s="104"/>
      <c r="D134" s="104"/>
    </row>
    <row r="136" spans="1:4" x14ac:dyDescent="0.2">
      <c r="A136" s="30">
        <v>6</v>
      </c>
      <c r="B136" s="31" t="s">
        <v>61</v>
      </c>
      <c r="C136" s="30" t="s">
        <v>26</v>
      </c>
      <c r="D136" s="30" t="s">
        <v>3</v>
      </c>
    </row>
    <row r="137" spans="1:4" x14ac:dyDescent="0.2">
      <c r="A137" s="32" t="s">
        <v>4</v>
      </c>
      <c r="B137" s="29" t="s">
        <v>62</v>
      </c>
      <c r="C137" s="9">
        <v>0.05</v>
      </c>
      <c r="D137" s="14">
        <f>D157*C137</f>
        <v>194.74199999999999</v>
      </c>
    </row>
    <row r="138" spans="1:4" x14ac:dyDescent="0.2">
      <c r="A138" s="32" t="s">
        <v>6</v>
      </c>
      <c r="B138" s="29" t="s">
        <v>63</v>
      </c>
      <c r="C138" s="9">
        <v>0.06</v>
      </c>
      <c r="D138" s="13">
        <f>(D157+D137)*C138</f>
        <v>245.37491999999997</v>
      </c>
    </row>
    <row r="139" spans="1:4" x14ac:dyDescent="0.2">
      <c r="A139" s="32" t="s">
        <v>8</v>
      </c>
      <c r="B139" s="29" t="s">
        <v>64</v>
      </c>
      <c r="C139" s="12">
        <f>SUM(C140:C145)</f>
        <v>8.6499999999999994E-2</v>
      </c>
      <c r="D139" s="13">
        <f>(D157+D137+D138)*C139/(1-C139)</f>
        <v>410.48032137931028</v>
      </c>
    </row>
    <row r="140" spans="1:4" x14ac:dyDescent="0.2">
      <c r="A140" s="32"/>
      <c r="B140" s="29" t="s">
        <v>65</v>
      </c>
      <c r="C140" s="9"/>
      <c r="D140" s="14">
        <f>$D$159*C140</f>
        <v>0</v>
      </c>
    </row>
    <row r="141" spans="1:4" x14ac:dyDescent="0.2">
      <c r="A141" s="32"/>
      <c r="B141" s="29" t="s">
        <v>95</v>
      </c>
      <c r="C141" s="9">
        <v>6.4999999999999997E-3</v>
      </c>
      <c r="D141" s="14">
        <f t="shared" ref="D141:D145" si="3">$D$159*C141</f>
        <v>30.845359999999996</v>
      </c>
    </row>
    <row r="142" spans="1:4" x14ac:dyDescent="0.2">
      <c r="A142" s="32"/>
      <c r="B142" s="29" t="s">
        <v>96</v>
      </c>
      <c r="C142" s="9">
        <v>0.03</v>
      </c>
      <c r="D142" s="14">
        <f t="shared" si="3"/>
        <v>142.36319999999998</v>
      </c>
    </row>
    <row r="143" spans="1:4" x14ac:dyDescent="0.2">
      <c r="A143" s="32"/>
      <c r="B143" s="29" t="s">
        <v>66</v>
      </c>
      <c r="C143" s="32"/>
      <c r="D143" s="14">
        <f t="shared" si="3"/>
        <v>0</v>
      </c>
    </row>
    <row r="144" spans="1:4" x14ac:dyDescent="0.2">
      <c r="A144" s="32"/>
      <c r="B144" s="29" t="s">
        <v>67</v>
      </c>
      <c r="C144" s="9"/>
      <c r="D144" s="14">
        <f t="shared" si="3"/>
        <v>0</v>
      </c>
    </row>
    <row r="145" spans="1:4" x14ac:dyDescent="0.2">
      <c r="A145" s="32"/>
      <c r="B145" s="29" t="s">
        <v>97</v>
      </c>
      <c r="C145" s="9">
        <v>0.05</v>
      </c>
      <c r="D145" s="14">
        <f t="shared" si="3"/>
        <v>237.27199999999999</v>
      </c>
    </row>
    <row r="146" spans="1:4" ht="13.5" x14ac:dyDescent="0.2">
      <c r="A146" s="108" t="s">
        <v>37</v>
      </c>
      <c r="B146" s="109"/>
      <c r="C146" s="21">
        <f>(1+C138)*(1+C137)/(1-C139)-1</f>
        <v>0.21839080459770144</v>
      </c>
      <c r="D146" s="19">
        <f>SUM(D137:D139)</f>
        <v>850.59724137931016</v>
      </c>
    </row>
    <row r="149" spans="1:4" x14ac:dyDescent="0.2">
      <c r="A149" s="104" t="s">
        <v>68</v>
      </c>
      <c r="B149" s="104"/>
      <c r="C149" s="104"/>
      <c r="D149" s="104"/>
    </row>
    <row r="151" spans="1:4" x14ac:dyDescent="0.2">
      <c r="A151" s="30"/>
      <c r="B151" s="99" t="s">
        <v>69</v>
      </c>
      <c r="C151" s="99"/>
      <c r="D151" s="30" t="s">
        <v>3</v>
      </c>
    </row>
    <row r="152" spans="1:4" x14ac:dyDescent="0.2">
      <c r="A152" s="30" t="s">
        <v>4</v>
      </c>
      <c r="B152" s="100" t="s">
        <v>1</v>
      </c>
      <c r="C152" s="100"/>
      <c r="D152" s="22">
        <f>D35</f>
        <v>1833.6</v>
      </c>
    </row>
    <row r="153" spans="1:4" x14ac:dyDescent="0.2">
      <c r="A153" s="30" t="s">
        <v>6</v>
      </c>
      <c r="B153" s="100" t="s">
        <v>17</v>
      </c>
      <c r="C153" s="100"/>
      <c r="D153" s="22">
        <f>D79</f>
        <v>1976.76</v>
      </c>
    </row>
    <row r="154" spans="1:4" x14ac:dyDescent="0.2">
      <c r="A154" s="30" t="s">
        <v>8</v>
      </c>
      <c r="B154" s="100" t="s">
        <v>45</v>
      </c>
      <c r="C154" s="100"/>
      <c r="D154" s="22">
        <f>D91</f>
        <v>0</v>
      </c>
    </row>
    <row r="155" spans="1:4" x14ac:dyDescent="0.2">
      <c r="A155" s="30" t="s">
        <v>10</v>
      </c>
      <c r="B155" s="100" t="s">
        <v>50</v>
      </c>
      <c r="C155" s="100"/>
      <c r="D155" s="22">
        <f>D121</f>
        <v>20.95</v>
      </c>
    </row>
    <row r="156" spans="1:4" x14ac:dyDescent="0.2">
      <c r="A156" s="30" t="s">
        <v>12</v>
      </c>
      <c r="B156" s="100" t="s">
        <v>55</v>
      </c>
      <c r="C156" s="100"/>
      <c r="D156" s="22">
        <f>D131</f>
        <v>63.53</v>
      </c>
    </row>
    <row r="157" spans="1:4" x14ac:dyDescent="0.2">
      <c r="A157" s="99" t="s">
        <v>94</v>
      </c>
      <c r="B157" s="99"/>
      <c r="C157" s="99"/>
      <c r="D157" s="23">
        <f>SUM(D152:D156)</f>
        <v>3894.8399999999997</v>
      </c>
    </row>
    <row r="158" spans="1:4" x14ac:dyDescent="0.2">
      <c r="A158" s="30" t="s">
        <v>32</v>
      </c>
      <c r="B158" s="100" t="s">
        <v>70</v>
      </c>
      <c r="C158" s="100"/>
      <c r="D158" s="24">
        <f>D146</f>
        <v>850.59724137931016</v>
      </c>
    </row>
    <row r="159" spans="1:4" x14ac:dyDescent="0.2">
      <c r="A159" s="99" t="s">
        <v>71</v>
      </c>
      <c r="B159" s="99"/>
      <c r="C159" s="99"/>
      <c r="D159" s="23">
        <f>ROUND(SUM(D157:D158),2)</f>
        <v>4745.4399999999996</v>
      </c>
    </row>
  </sheetData>
  <mergeCells count="75">
    <mergeCell ref="B155:C155"/>
    <mergeCell ref="B156:C156"/>
    <mergeCell ref="A157:C157"/>
    <mergeCell ref="B158:C158"/>
    <mergeCell ref="A159:C159"/>
    <mergeCell ref="B154:C154"/>
    <mergeCell ref="B120:C120"/>
    <mergeCell ref="A121:C121"/>
    <mergeCell ref="A124:D124"/>
    <mergeCell ref="B126:C126"/>
    <mergeCell ref="A131:C131"/>
    <mergeCell ref="A134:D134"/>
    <mergeCell ref="A146:B146"/>
    <mergeCell ref="A149:D149"/>
    <mergeCell ref="B151:C151"/>
    <mergeCell ref="B152:C152"/>
    <mergeCell ref="B153:C153"/>
    <mergeCell ref="B119:C119"/>
    <mergeCell ref="A91:C91"/>
    <mergeCell ref="A94:D94"/>
    <mergeCell ref="A97:D97"/>
    <mergeCell ref="B99:C99"/>
    <mergeCell ref="A106:C106"/>
    <mergeCell ref="A109:D109"/>
    <mergeCell ref="B111:C111"/>
    <mergeCell ref="B112:C112"/>
    <mergeCell ref="A113:C113"/>
    <mergeCell ref="A116:D116"/>
    <mergeCell ref="B118:C118"/>
    <mergeCell ref="B84:C84"/>
    <mergeCell ref="B67:C67"/>
    <mergeCell ref="B68:C68"/>
    <mergeCell ref="B69:C69"/>
    <mergeCell ref="A70:C70"/>
    <mergeCell ref="A73:D73"/>
    <mergeCell ref="B75:C75"/>
    <mergeCell ref="B76:C76"/>
    <mergeCell ref="B77:C77"/>
    <mergeCell ref="B78:C78"/>
    <mergeCell ref="A79:C79"/>
    <mergeCell ref="A82:D82"/>
    <mergeCell ref="B66:C66"/>
    <mergeCell ref="B34:C34"/>
    <mergeCell ref="A35:C35"/>
    <mergeCell ref="A38:D38"/>
    <mergeCell ref="A40:D40"/>
    <mergeCell ref="B42:C42"/>
    <mergeCell ref="A45:B45"/>
    <mergeCell ref="A48:D48"/>
    <mergeCell ref="A59:B59"/>
    <mergeCell ref="A62:D62"/>
    <mergeCell ref="B64:C64"/>
    <mergeCell ref="B65:C65"/>
    <mergeCell ref="B33:C33"/>
    <mergeCell ref="C20:D20"/>
    <mergeCell ref="C21:D21"/>
    <mergeCell ref="C22:D22"/>
    <mergeCell ref="C23:D23"/>
    <mergeCell ref="A25:D25"/>
    <mergeCell ref="B27:C27"/>
    <mergeCell ref="B28:C28"/>
    <mergeCell ref="B29:C29"/>
    <mergeCell ref="B30:C30"/>
    <mergeCell ref="B31:C31"/>
    <mergeCell ref="B32:C32"/>
    <mergeCell ref="C19:D19"/>
    <mergeCell ref="A1:D1"/>
    <mergeCell ref="A12:D12"/>
    <mergeCell ref="A14:B14"/>
    <mergeCell ref="A15:B15"/>
    <mergeCell ref="A17:D17"/>
    <mergeCell ref="A3:D3"/>
    <mergeCell ref="A5:D5"/>
    <mergeCell ref="B9:C9"/>
    <mergeCell ref="B10:C10"/>
  </mergeCells>
  <pageMargins left="0.51181102362204722" right="0.51181102362204722" top="0.78740157480314965" bottom="0.78740157480314965" header="0.31496062992125984" footer="0.31496062992125984"/>
  <pageSetup paperSize="9" scale="84" fitToHeight="0" orientation="portrait" r:id="rId1"/>
  <headerFooter>
    <oddHeader>&amp;C&amp;G</oddHead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9"/>
  <sheetViews>
    <sheetView view="pageBreakPreview" topLeftCell="A31" zoomScaleNormal="100" zoomScaleSheetLayoutView="100" workbookViewId="0">
      <selection activeCell="G45" sqref="G45"/>
    </sheetView>
  </sheetViews>
  <sheetFormatPr defaultRowHeight="15" x14ac:dyDescent="0.25"/>
  <cols>
    <col min="1" max="1" width="15.7109375" style="67" customWidth="1"/>
    <col min="2" max="2" width="6.7109375" style="67" customWidth="1"/>
    <col min="3" max="3" width="36.7109375" style="74" customWidth="1"/>
    <col min="4" max="4" width="12.7109375" style="67" customWidth="1"/>
    <col min="5" max="5" width="12.7109375" style="75" customWidth="1"/>
    <col min="6" max="7" width="15.7109375" style="67" customWidth="1"/>
    <col min="8" max="16384" width="9.140625" style="67"/>
  </cols>
  <sheetData>
    <row r="1" spans="1:7" ht="15.75" x14ac:dyDescent="0.25">
      <c r="A1" s="116" t="s">
        <v>198</v>
      </c>
      <c r="B1" s="116"/>
      <c r="C1" s="116"/>
      <c r="D1" s="116"/>
      <c r="E1" s="116"/>
      <c r="F1" s="116"/>
      <c r="G1" s="116"/>
    </row>
    <row r="2" spans="1:7" ht="24" x14ac:dyDescent="0.25">
      <c r="A2" s="68" t="s">
        <v>190</v>
      </c>
      <c r="B2" s="68" t="s">
        <v>167</v>
      </c>
      <c r="C2" s="68" t="s">
        <v>191</v>
      </c>
      <c r="D2" s="68" t="s">
        <v>192</v>
      </c>
      <c r="E2" s="69" t="s">
        <v>170</v>
      </c>
      <c r="F2" s="68" t="s">
        <v>148</v>
      </c>
      <c r="G2" s="68" t="s">
        <v>193</v>
      </c>
    </row>
    <row r="3" spans="1:7" ht="30" x14ac:dyDescent="0.25">
      <c r="A3" s="70" t="s">
        <v>194</v>
      </c>
      <c r="B3" s="70">
        <v>10</v>
      </c>
      <c r="C3" s="71" t="s">
        <v>199</v>
      </c>
      <c r="D3" s="70" t="s">
        <v>200</v>
      </c>
      <c r="E3" s="72">
        <v>152</v>
      </c>
      <c r="F3" s="73">
        <v>8.8800000000000008</v>
      </c>
      <c r="G3" s="73">
        <f t="shared" ref="G3:G44" si="0">ROUND((E3*F3),2)</f>
        <v>1349.76</v>
      </c>
    </row>
    <row r="4" spans="1:7" ht="30" x14ac:dyDescent="0.25">
      <c r="A4" s="70" t="s">
        <v>194</v>
      </c>
      <c r="B4" s="70">
        <v>11</v>
      </c>
      <c r="C4" s="71" t="s">
        <v>201</v>
      </c>
      <c r="D4" s="70" t="s">
        <v>200</v>
      </c>
      <c r="E4" s="72">
        <v>8</v>
      </c>
      <c r="F4" s="73">
        <v>17.440000000000001</v>
      </c>
      <c r="G4" s="73">
        <f t="shared" si="0"/>
        <v>139.52000000000001</v>
      </c>
    </row>
    <row r="5" spans="1:7" ht="30" x14ac:dyDescent="0.25">
      <c r="A5" s="70" t="s">
        <v>194</v>
      </c>
      <c r="B5" s="70">
        <v>12</v>
      </c>
      <c r="C5" s="71" t="s">
        <v>202</v>
      </c>
      <c r="D5" s="70" t="s">
        <v>200</v>
      </c>
      <c r="E5" s="72">
        <v>8</v>
      </c>
      <c r="F5" s="73">
        <v>17.440000000000001</v>
      </c>
      <c r="G5" s="73">
        <f t="shared" si="0"/>
        <v>139.52000000000001</v>
      </c>
    </row>
    <row r="6" spans="1:7" ht="30" x14ac:dyDescent="0.25">
      <c r="A6" s="70" t="s">
        <v>194</v>
      </c>
      <c r="B6" s="70">
        <v>13</v>
      </c>
      <c r="C6" s="71" t="s">
        <v>203</v>
      </c>
      <c r="D6" s="70" t="s">
        <v>200</v>
      </c>
      <c r="E6" s="72">
        <v>10</v>
      </c>
      <c r="F6" s="73">
        <v>15.14</v>
      </c>
      <c r="G6" s="73">
        <f t="shared" si="0"/>
        <v>151.4</v>
      </c>
    </row>
    <row r="7" spans="1:7" ht="30" x14ac:dyDescent="0.25">
      <c r="A7" s="70" t="s">
        <v>194</v>
      </c>
      <c r="B7" s="70">
        <v>14</v>
      </c>
      <c r="C7" s="71" t="s">
        <v>204</v>
      </c>
      <c r="D7" s="70" t="s">
        <v>200</v>
      </c>
      <c r="E7" s="72">
        <v>2</v>
      </c>
      <c r="F7" s="73">
        <v>33.369999999999997</v>
      </c>
      <c r="G7" s="73">
        <f t="shared" si="0"/>
        <v>66.739999999999995</v>
      </c>
    </row>
    <row r="8" spans="1:7" x14ac:dyDescent="0.25">
      <c r="A8" s="70" t="s">
        <v>194</v>
      </c>
      <c r="B8" s="70">
        <v>15</v>
      </c>
      <c r="C8" s="71" t="s">
        <v>205</v>
      </c>
      <c r="D8" s="70" t="s">
        <v>200</v>
      </c>
      <c r="E8" s="72">
        <v>456</v>
      </c>
      <c r="F8" s="73">
        <v>2.7</v>
      </c>
      <c r="G8" s="73">
        <f t="shared" si="0"/>
        <v>1231.2</v>
      </c>
    </row>
    <row r="9" spans="1:7" ht="30" x14ac:dyDescent="0.25">
      <c r="A9" s="70" t="s">
        <v>194</v>
      </c>
      <c r="B9" s="70">
        <v>16</v>
      </c>
      <c r="C9" s="71" t="s">
        <v>206</v>
      </c>
      <c r="D9" s="70" t="s">
        <v>200</v>
      </c>
      <c r="E9" s="72">
        <v>8</v>
      </c>
      <c r="F9" s="73">
        <v>192.22</v>
      </c>
      <c r="G9" s="73">
        <f t="shared" si="0"/>
        <v>1537.76</v>
      </c>
    </row>
    <row r="10" spans="1:7" ht="30" x14ac:dyDescent="0.25">
      <c r="A10" s="70" t="s">
        <v>194</v>
      </c>
      <c r="B10" s="70">
        <v>17</v>
      </c>
      <c r="C10" s="71" t="s">
        <v>207</v>
      </c>
      <c r="D10" s="70" t="s">
        <v>266</v>
      </c>
      <c r="E10" s="72">
        <v>456</v>
      </c>
      <c r="F10" s="73"/>
      <c r="G10" s="73">
        <f t="shared" si="0"/>
        <v>0</v>
      </c>
    </row>
    <row r="11" spans="1:7" x14ac:dyDescent="0.25">
      <c r="A11" s="70" t="s">
        <v>194</v>
      </c>
      <c r="B11" s="70">
        <v>18</v>
      </c>
      <c r="C11" s="71" t="s">
        <v>208</v>
      </c>
      <c r="D11" s="70" t="s">
        <v>200</v>
      </c>
      <c r="E11" s="72">
        <v>228</v>
      </c>
      <c r="F11" s="73">
        <v>7.05</v>
      </c>
      <c r="G11" s="73">
        <f t="shared" si="0"/>
        <v>1607.4</v>
      </c>
    </row>
    <row r="12" spans="1:7" x14ac:dyDescent="0.25">
      <c r="A12" s="70" t="s">
        <v>194</v>
      </c>
      <c r="B12" s="70">
        <v>19</v>
      </c>
      <c r="C12" s="71" t="s">
        <v>209</v>
      </c>
      <c r="D12" s="70" t="s">
        <v>200</v>
      </c>
      <c r="E12" s="72">
        <v>912</v>
      </c>
      <c r="F12" s="73">
        <v>4.1399999999999997</v>
      </c>
      <c r="G12" s="73">
        <f t="shared" si="0"/>
        <v>3775.68</v>
      </c>
    </row>
    <row r="13" spans="1:7" x14ac:dyDescent="0.25">
      <c r="A13" s="70" t="s">
        <v>194</v>
      </c>
      <c r="B13" s="70">
        <v>20</v>
      </c>
      <c r="C13" s="71" t="s">
        <v>210</v>
      </c>
      <c r="D13" s="70" t="s">
        <v>200</v>
      </c>
      <c r="E13" s="72">
        <v>16</v>
      </c>
      <c r="F13" s="73">
        <v>23.2</v>
      </c>
      <c r="G13" s="73">
        <f t="shared" si="0"/>
        <v>371.2</v>
      </c>
    </row>
    <row r="14" spans="1:7" x14ac:dyDescent="0.25">
      <c r="A14" s="70" t="s">
        <v>194</v>
      </c>
      <c r="B14" s="70">
        <v>21</v>
      </c>
      <c r="C14" s="71" t="s">
        <v>211</v>
      </c>
      <c r="D14" s="70" t="s">
        <v>200</v>
      </c>
      <c r="E14" s="72">
        <v>20</v>
      </c>
      <c r="F14" s="73">
        <v>8.98</v>
      </c>
      <c r="G14" s="73">
        <f t="shared" si="0"/>
        <v>179.6</v>
      </c>
    </row>
    <row r="15" spans="1:7" x14ac:dyDescent="0.25">
      <c r="A15" s="70" t="s">
        <v>194</v>
      </c>
      <c r="B15" s="70">
        <v>22</v>
      </c>
      <c r="C15" s="71" t="s">
        <v>212</v>
      </c>
      <c r="D15" s="70" t="s">
        <v>200</v>
      </c>
      <c r="E15" s="72">
        <v>228</v>
      </c>
      <c r="F15" s="73">
        <v>5.43</v>
      </c>
      <c r="G15" s="73">
        <f t="shared" si="0"/>
        <v>1238.04</v>
      </c>
    </row>
    <row r="16" spans="1:7" ht="30" x14ac:dyDescent="0.25">
      <c r="A16" s="70" t="s">
        <v>194</v>
      </c>
      <c r="B16" s="70">
        <v>23</v>
      </c>
      <c r="C16" s="71" t="s">
        <v>213</v>
      </c>
      <c r="D16" s="70" t="s">
        <v>200</v>
      </c>
      <c r="E16" s="72">
        <v>228</v>
      </c>
      <c r="F16" s="73">
        <v>17.55</v>
      </c>
      <c r="G16" s="73">
        <f t="shared" si="0"/>
        <v>4001.4</v>
      </c>
    </row>
    <row r="17" spans="1:7" x14ac:dyDescent="0.25">
      <c r="A17" s="70" t="s">
        <v>194</v>
      </c>
      <c r="B17" s="70">
        <v>24</v>
      </c>
      <c r="C17" s="71" t="s">
        <v>214</v>
      </c>
      <c r="D17" s="70" t="s">
        <v>215</v>
      </c>
      <c r="E17" s="72">
        <v>1000</v>
      </c>
      <c r="F17" s="73">
        <v>0.73</v>
      </c>
      <c r="G17" s="73">
        <f t="shared" si="0"/>
        <v>730</v>
      </c>
    </row>
    <row r="18" spans="1:7" x14ac:dyDescent="0.25">
      <c r="A18" s="70" t="s">
        <v>194</v>
      </c>
      <c r="B18" s="70">
        <v>25</v>
      </c>
      <c r="C18" s="71" t="s">
        <v>216</v>
      </c>
      <c r="D18" s="70" t="s">
        <v>215</v>
      </c>
      <c r="E18" s="72">
        <v>100</v>
      </c>
      <c r="F18" s="73">
        <v>1</v>
      </c>
      <c r="G18" s="73">
        <f t="shared" si="0"/>
        <v>100</v>
      </c>
    </row>
    <row r="19" spans="1:7" x14ac:dyDescent="0.25">
      <c r="A19" s="70" t="s">
        <v>194</v>
      </c>
      <c r="B19" s="70">
        <v>26</v>
      </c>
      <c r="C19" s="71" t="s">
        <v>217</v>
      </c>
      <c r="D19" s="70" t="s">
        <v>218</v>
      </c>
      <c r="E19" s="72">
        <v>50</v>
      </c>
      <c r="F19" s="73">
        <v>38.53</v>
      </c>
      <c r="G19" s="73">
        <f t="shared" si="0"/>
        <v>1926.5</v>
      </c>
    </row>
    <row r="20" spans="1:7" x14ac:dyDescent="0.25">
      <c r="A20" s="70" t="s">
        <v>194</v>
      </c>
      <c r="B20" s="70">
        <v>27</v>
      </c>
      <c r="C20" s="71" t="s">
        <v>219</v>
      </c>
      <c r="D20" s="70" t="s">
        <v>215</v>
      </c>
      <c r="E20" s="72">
        <v>100</v>
      </c>
      <c r="F20" s="73">
        <v>3.11</v>
      </c>
      <c r="G20" s="73">
        <f t="shared" si="0"/>
        <v>311</v>
      </c>
    </row>
    <row r="21" spans="1:7" x14ac:dyDescent="0.25">
      <c r="A21" s="70" t="s">
        <v>194</v>
      </c>
      <c r="B21" s="70">
        <v>28</v>
      </c>
      <c r="C21" s="71" t="s">
        <v>220</v>
      </c>
      <c r="D21" s="70" t="s">
        <v>221</v>
      </c>
      <c r="E21" s="72">
        <v>5</v>
      </c>
      <c r="F21" s="73">
        <v>19.190000000000001</v>
      </c>
      <c r="G21" s="73">
        <f t="shared" si="0"/>
        <v>95.95</v>
      </c>
    </row>
    <row r="22" spans="1:7" x14ac:dyDescent="0.25">
      <c r="A22" s="70" t="s">
        <v>194</v>
      </c>
      <c r="B22" s="70">
        <v>29</v>
      </c>
      <c r="C22" s="71" t="s">
        <v>222</v>
      </c>
      <c r="D22" s="70" t="s">
        <v>218</v>
      </c>
      <c r="E22" s="72">
        <v>48</v>
      </c>
      <c r="F22" s="73">
        <v>40.21</v>
      </c>
      <c r="G22" s="73">
        <f t="shared" si="0"/>
        <v>1930.08</v>
      </c>
    </row>
    <row r="23" spans="1:7" x14ac:dyDescent="0.25">
      <c r="A23" s="70" t="s">
        <v>194</v>
      </c>
      <c r="B23" s="70">
        <v>30</v>
      </c>
      <c r="C23" s="71" t="s">
        <v>223</v>
      </c>
      <c r="D23" s="70" t="s">
        <v>224</v>
      </c>
      <c r="E23" s="72">
        <v>50</v>
      </c>
      <c r="F23" s="73">
        <v>0.74</v>
      </c>
      <c r="G23" s="73">
        <f t="shared" si="0"/>
        <v>37</v>
      </c>
    </row>
    <row r="24" spans="1:7" x14ac:dyDescent="0.25">
      <c r="A24" s="70" t="s">
        <v>194</v>
      </c>
      <c r="B24" s="70">
        <v>31</v>
      </c>
      <c r="C24" s="71" t="s">
        <v>225</v>
      </c>
      <c r="D24" s="70" t="s">
        <v>218</v>
      </c>
      <c r="E24" s="72">
        <v>660</v>
      </c>
      <c r="F24" s="73">
        <v>1.95</v>
      </c>
      <c r="G24" s="73">
        <f t="shared" si="0"/>
        <v>1287</v>
      </c>
    </row>
    <row r="25" spans="1:7" x14ac:dyDescent="0.25">
      <c r="A25" s="70" t="s">
        <v>194</v>
      </c>
      <c r="B25" s="70">
        <v>32</v>
      </c>
      <c r="C25" s="71" t="s">
        <v>226</v>
      </c>
      <c r="D25" s="70" t="s">
        <v>218</v>
      </c>
      <c r="E25" s="72">
        <v>540</v>
      </c>
      <c r="F25" s="73">
        <v>4.54</v>
      </c>
      <c r="G25" s="73">
        <f t="shared" si="0"/>
        <v>2451.6</v>
      </c>
    </row>
    <row r="26" spans="1:7" x14ac:dyDescent="0.25">
      <c r="A26" s="70" t="s">
        <v>194</v>
      </c>
      <c r="B26" s="70">
        <v>33</v>
      </c>
      <c r="C26" s="71" t="s">
        <v>227</v>
      </c>
      <c r="D26" s="70" t="s">
        <v>200</v>
      </c>
      <c r="E26" s="72">
        <v>24</v>
      </c>
      <c r="F26" s="73">
        <v>6.33</v>
      </c>
      <c r="G26" s="73">
        <f t="shared" si="0"/>
        <v>151.91999999999999</v>
      </c>
    </row>
    <row r="27" spans="1:7" x14ac:dyDescent="0.25">
      <c r="A27" s="70" t="s">
        <v>194</v>
      </c>
      <c r="B27" s="70">
        <v>34</v>
      </c>
      <c r="C27" s="71" t="s">
        <v>228</v>
      </c>
      <c r="D27" s="70" t="s">
        <v>218</v>
      </c>
      <c r="E27" s="72">
        <v>120</v>
      </c>
      <c r="F27" s="73">
        <v>5.36</v>
      </c>
      <c r="G27" s="73">
        <f t="shared" si="0"/>
        <v>643.20000000000005</v>
      </c>
    </row>
    <row r="28" spans="1:7" x14ac:dyDescent="0.25">
      <c r="A28" s="70" t="s">
        <v>194</v>
      </c>
      <c r="B28" s="70">
        <v>35</v>
      </c>
      <c r="C28" s="71" t="s">
        <v>229</v>
      </c>
      <c r="D28" s="70" t="s">
        <v>218</v>
      </c>
      <c r="E28" s="72">
        <v>600</v>
      </c>
      <c r="F28" s="73">
        <v>10.199999999999999</v>
      </c>
      <c r="G28" s="73">
        <f t="shared" si="0"/>
        <v>6120</v>
      </c>
    </row>
    <row r="29" spans="1:7" x14ac:dyDescent="0.25">
      <c r="A29" s="70" t="s">
        <v>194</v>
      </c>
      <c r="B29" s="70">
        <v>36</v>
      </c>
      <c r="C29" s="71" t="s">
        <v>230</v>
      </c>
      <c r="D29" s="70" t="s">
        <v>200</v>
      </c>
      <c r="E29" s="72">
        <v>840</v>
      </c>
      <c r="F29" s="73">
        <v>1.59</v>
      </c>
      <c r="G29" s="73">
        <f t="shared" si="0"/>
        <v>1335.6</v>
      </c>
    </row>
    <row r="30" spans="1:7" x14ac:dyDescent="0.25">
      <c r="A30" s="70" t="s">
        <v>194</v>
      </c>
      <c r="B30" s="70">
        <v>37</v>
      </c>
      <c r="C30" s="71" t="s">
        <v>231</v>
      </c>
      <c r="D30" s="70" t="s">
        <v>218</v>
      </c>
      <c r="E30" s="72">
        <v>600</v>
      </c>
      <c r="F30" s="73">
        <v>7.49</v>
      </c>
      <c r="G30" s="73">
        <f t="shared" si="0"/>
        <v>4494</v>
      </c>
    </row>
    <row r="31" spans="1:7" x14ac:dyDescent="0.25">
      <c r="A31" s="70" t="s">
        <v>194</v>
      </c>
      <c r="B31" s="70">
        <v>38</v>
      </c>
      <c r="C31" s="71" t="s">
        <v>232</v>
      </c>
      <c r="D31" s="70" t="s">
        <v>218</v>
      </c>
      <c r="E31" s="72">
        <v>540</v>
      </c>
      <c r="F31" s="73">
        <v>12.73</v>
      </c>
      <c r="G31" s="73">
        <f t="shared" si="0"/>
        <v>6874.2</v>
      </c>
    </row>
    <row r="32" spans="1:7" x14ac:dyDescent="0.25">
      <c r="A32" s="70" t="s">
        <v>194</v>
      </c>
      <c r="B32" s="70">
        <v>39</v>
      </c>
      <c r="C32" s="71" t="s">
        <v>233</v>
      </c>
      <c r="D32" s="70" t="s">
        <v>200</v>
      </c>
      <c r="E32" s="72">
        <v>24</v>
      </c>
      <c r="F32" s="73">
        <v>3.49</v>
      </c>
      <c r="G32" s="73">
        <f t="shared" si="0"/>
        <v>83.76</v>
      </c>
    </row>
    <row r="33" spans="1:7" x14ac:dyDescent="0.25">
      <c r="A33" s="70" t="s">
        <v>194</v>
      </c>
      <c r="B33" s="70">
        <v>40</v>
      </c>
      <c r="C33" s="71" t="s">
        <v>234</v>
      </c>
      <c r="D33" s="70" t="s">
        <v>235</v>
      </c>
      <c r="E33" s="72">
        <v>36</v>
      </c>
      <c r="F33" s="73">
        <v>2.74</v>
      </c>
      <c r="G33" s="73">
        <f t="shared" si="0"/>
        <v>98.64</v>
      </c>
    </row>
    <row r="34" spans="1:7" x14ac:dyDescent="0.25">
      <c r="A34" s="70" t="s">
        <v>194</v>
      </c>
      <c r="B34" s="70">
        <v>41</v>
      </c>
      <c r="C34" s="71" t="s">
        <v>236</v>
      </c>
      <c r="D34" s="70" t="s">
        <v>200</v>
      </c>
      <c r="E34" s="72">
        <v>960</v>
      </c>
      <c r="F34" s="73">
        <v>0.85</v>
      </c>
      <c r="G34" s="73">
        <f t="shared" si="0"/>
        <v>816</v>
      </c>
    </row>
    <row r="35" spans="1:7" x14ac:dyDescent="0.25">
      <c r="A35" s="70" t="s">
        <v>194</v>
      </c>
      <c r="B35" s="70">
        <v>42</v>
      </c>
      <c r="C35" s="71" t="s">
        <v>237</v>
      </c>
      <c r="D35" s="70" t="s">
        <v>235</v>
      </c>
      <c r="E35" s="72">
        <v>24</v>
      </c>
      <c r="F35" s="73">
        <v>6.69</v>
      </c>
      <c r="G35" s="73">
        <f t="shared" si="0"/>
        <v>160.56</v>
      </c>
    </row>
    <row r="36" spans="1:7" ht="30" x14ac:dyDescent="0.25">
      <c r="A36" s="70" t="s">
        <v>194</v>
      </c>
      <c r="B36" s="70">
        <v>43</v>
      </c>
      <c r="C36" s="71" t="s">
        <v>238</v>
      </c>
      <c r="D36" s="70" t="s">
        <v>200</v>
      </c>
      <c r="E36" s="72">
        <v>180</v>
      </c>
      <c r="F36" s="73">
        <v>8.4700000000000006</v>
      </c>
      <c r="G36" s="73">
        <f t="shared" si="0"/>
        <v>1524.6</v>
      </c>
    </row>
    <row r="37" spans="1:7" x14ac:dyDescent="0.25">
      <c r="A37" s="70" t="s">
        <v>194</v>
      </c>
      <c r="B37" s="70">
        <v>44</v>
      </c>
      <c r="C37" s="71" t="s">
        <v>239</v>
      </c>
      <c r="D37" s="70" t="s">
        <v>218</v>
      </c>
      <c r="E37" s="72">
        <v>240</v>
      </c>
      <c r="F37" s="73">
        <v>4.17</v>
      </c>
      <c r="G37" s="73">
        <f t="shared" si="0"/>
        <v>1000.8</v>
      </c>
    </row>
    <row r="38" spans="1:7" x14ac:dyDescent="0.25">
      <c r="A38" s="70" t="s">
        <v>194</v>
      </c>
      <c r="B38" s="70">
        <v>45</v>
      </c>
      <c r="C38" s="71" t="s">
        <v>240</v>
      </c>
      <c r="D38" s="70" t="s">
        <v>200</v>
      </c>
      <c r="E38" s="72">
        <v>120</v>
      </c>
      <c r="F38" s="73">
        <v>2.29</v>
      </c>
      <c r="G38" s="73">
        <f t="shared" si="0"/>
        <v>274.8</v>
      </c>
    </row>
    <row r="39" spans="1:7" x14ac:dyDescent="0.25">
      <c r="A39" s="70" t="s">
        <v>194</v>
      </c>
      <c r="B39" s="70">
        <v>46</v>
      </c>
      <c r="C39" s="71" t="s">
        <v>241</v>
      </c>
      <c r="D39" s="70" t="s">
        <v>235</v>
      </c>
      <c r="E39" s="72">
        <v>24</v>
      </c>
      <c r="F39" s="73">
        <v>1.23</v>
      </c>
      <c r="G39" s="73">
        <f t="shared" si="0"/>
        <v>29.52</v>
      </c>
    </row>
    <row r="40" spans="1:7" ht="90" x14ac:dyDescent="0.25">
      <c r="A40" s="70" t="s">
        <v>194</v>
      </c>
      <c r="B40" s="70">
        <v>47</v>
      </c>
      <c r="C40" s="71" t="s">
        <v>242</v>
      </c>
      <c r="D40" s="70" t="s">
        <v>243</v>
      </c>
      <c r="E40" s="72">
        <v>960</v>
      </c>
      <c r="F40" s="73">
        <v>75.989999999999995</v>
      </c>
      <c r="G40" s="73">
        <f t="shared" si="0"/>
        <v>72950.399999999994</v>
      </c>
    </row>
    <row r="41" spans="1:7" ht="75" x14ac:dyDescent="0.25">
      <c r="A41" s="70" t="s">
        <v>194</v>
      </c>
      <c r="B41" s="70">
        <v>48</v>
      </c>
      <c r="C41" s="71" t="s">
        <v>244</v>
      </c>
      <c r="D41" s="70" t="s">
        <v>245</v>
      </c>
      <c r="E41" s="72">
        <v>5400</v>
      </c>
      <c r="F41" s="73">
        <v>68</v>
      </c>
      <c r="G41" s="73">
        <f t="shared" si="0"/>
        <v>367200</v>
      </c>
    </row>
    <row r="42" spans="1:7" x14ac:dyDescent="0.25">
      <c r="A42" s="70" t="s">
        <v>194</v>
      </c>
      <c r="B42" s="70">
        <v>49</v>
      </c>
      <c r="C42" s="71" t="s">
        <v>246</v>
      </c>
      <c r="D42" s="70" t="s">
        <v>200</v>
      </c>
      <c r="E42" s="72">
        <v>60</v>
      </c>
      <c r="F42" s="73">
        <v>13.64</v>
      </c>
      <c r="G42" s="73">
        <f t="shared" si="0"/>
        <v>818.4</v>
      </c>
    </row>
    <row r="43" spans="1:7" x14ac:dyDescent="0.25">
      <c r="A43" s="70" t="s">
        <v>194</v>
      </c>
      <c r="B43" s="70">
        <v>50</v>
      </c>
      <c r="C43" s="71" t="s">
        <v>247</v>
      </c>
      <c r="D43" s="70" t="s">
        <v>200</v>
      </c>
      <c r="E43" s="72">
        <v>120</v>
      </c>
      <c r="F43" s="73">
        <v>8.3800000000000008</v>
      </c>
      <c r="G43" s="73">
        <f t="shared" si="0"/>
        <v>1005.6</v>
      </c>
    </row>
    <row r="44" spans="1:7" x14ac:dyDescent="0.25">
      <c r="A44" s="70" t="s">
        <v>194</v>
      </c>
      <c r="B44" s="70">
        <v>100</v>
      </c>
      <c r="C44" s="71" t="s">
        <v>267</v>
      </c>
      <c r="D44" s="70" t="s">
        <v>218</v>
      </c>
      <c r="E44" s="72">
        <f>40*12</f>
        <v>480</v>
      </c>
      <c r="F44" s="73">
        <v>3.8</v>
      </c>
      <c r="G44" s="73">
        <f t="shared" si="0"/>
        <v>1824</v>
      </c>
    </row>
    <row r="45" spans="1:7" x14ac:dyDescent="0.25">
      <c r="A45" s="70" t="s">
        <v>194</v>
      </c>
      <c r="B45" s="70">
        <v>51</v>
      </c>
      <c r="C45" s="71" t="s">
        <v>248</v>
      </c>
      <c r="D45" s="70" t="s">
        <v>218</v>
      </c>
      <c r="E45" s="72">
        <v>1200</v>
      </c>
      <c r="F45" s="73">
        <v>3.17</v>
      </c>
      <c r="G45" s="73">
        <f>ROUND((E45*F45),2)</f>
        <v>3804</v>
      </c>
    </row>
    <row r="46" spans="1:7" ht="30" x14ac:dyDescent="0.25">
      <c r="A46" s="70" t="s">
        <v>194</v>
      </c>
      <c r="B46" s="70">
        <v>52</v>
      </c>
      <c r="C46" s="71" t="s">
        <v>249</v>
      </c>
      <c r="D46" s="70" t="s">
        <v>200</v>
      </c>
      <c r="E46" s="72">
        <v>14400</v>
      </c>
      <c r="F46" s="73">
        <v>0.6</v>
      </c>
      <c r="G46" s="73">
        <f t="shared" ref="G46:G51" si="1">ROUND((E46*F46),2)</f>
        <v>8640</v>
      </c>
    </row>
    <row r="47" spans="1:7" ht="30" x14ac:dyDescent="0.25">
      <c r="A47" s="70" t="s">
        <v>194</v>
      </c>
      <c r="B47" s="70">
        <v>53</v>
      </c>
      <c r="C47" s="71" t="s">
        <v>250</v>
      </c>
      <c r="D47" s="70" t="s">
        <v>200</v>
      </c>
      <c r="E47" s="72">
        <v>14400</v>
      </c>
      <c r="F47" s="73">
        <v>0.66</v>
      </c>
      <c r="G47" s="73">
        <f t="shared" si="1"/>
        <v>9504</v>
      </c>
    </row>
    <row r="48" spans="1:7" ht="30" x14ac:dyDescent="0.25">
      <c r="A48" s="70" t="s">
        <v>194</v>
      </c>
      <c r="B48" s="70">
        <v>54</v>
      </c>
      <c r="C48" s="71" t="s">
        <v>251</v>
      </c>
      <c r="D48" s="70" t="s">
        <v>200</v>
      </c>
      <c r="E48" s="72">
        <v>14400</v>
      </c>
      <c r="F48" s="73">
        <v>0.13</v>
      </c>
      <c r="G48" s="73">
        <f t="shared" si="1"/>
        <v>1872</v>
      </c>
    </row>
    <row r="49" spans="1:7" ht="30" x14ac:dyDescent="0.25">
      <c r="A49" s="70" t="s">
        <v>194</v>
      </c>
      <c r="B49" s="70">
        <v>55</v>
      </c>
      <c r="C49" s="71" t="s">
        <v>252</v>
      </c>
      <c r="D49" s="70" t="s">
        <v>200</v>
      </c>
      <c r="E49" s="72">
        <v>8400</v>
      </c>
      <c r="F49" s="73">
        <v>1.25</v>
      </c>
      <c r="G49" s="73">
        <f t="shared" si="1"/>
        <v>10500</v>
      </c>
    </row>
    <row r="50" spans="1:7" ht="30" x14ac:dyDescent="0.25">
      <c r="A50" s="70" t="s">
        <v>194</v>
      </c>
      <c r="B50" s="70">
        <v>56</v>
      </c>
      <c r="C50" s="71" t="s">
        <v>253</v>
      </c>
      <c r="D50" s="70" t="s">
        <v>200</v>
      </c>
      <c r="E50" s="72">
        <v>3600</v>
      </c>
      <c r="F50" s="73">
        <v>0.52</v>
      </c>
      <c r="G50" s="73">
        <f t="shared" si="1"/>
        <v>1872</v>
      </c>
    </row>
    <row r="51" spans="1:7" x14ac:dyDescent="0.25">
      <c r="A51" s="70" t="s">
        <v>194</v>
      </c>
      <c r="B51" s="70">
        <v>57</v>
      </c>
      <c r="C51" s="71" t="s">
        <v>254</v>
      </c>
      <c r="D51" s="70" t="s">
        <v>200</v>
      </c>
      <c r="E51" s="72">
        <v>48</v>
      </c>
      <c r="F51" s="73">
        <v>5.24</v>
      </c>
      <c r="G51" s="73">
        <f t="shared" si="1"/>
        <v>251.52</v>
      </c>
    </row>
    <row r="52" spans="1:7" ht="15.75" thickBot="1" x14ac:dyDescent="0.3"/>
    <row r="53" spans="1:7" ht="16.5" thickTop="1" thickBot="1" x14ac:dyDescent="0.3">
      <c r="D53" s="76"/>
      <c r="E53" s="77" t="s">
        <v>195</v>
      </c>
      <c r="F53" s="78">
        <f>SUM(G:G)</f>
        <v>528507.87</v>
      </c>
    </row>
    <row r="54" spans="1:7" ht="15.75" thickTop="1" x14ac:dyDescent="0.25">
      <c r="F54" s="79"/>
    </row>
    <row r="56" spans="1:7" x14ac:dyDescent="0.25">
      <c r="D56" s="80" t="s">
        <v>196</v>
      </c>
      <c r="E56" s="81">
        <f>servente20!C147</f>
        <v>0.21839080459770144</v>
      </c>
      <c r="F56" s="82">
        <f>ROUND(E56*F53,2)</f>
        <v>115421.26</v>
      </c>
    </row>
    <row r="57" spans="1:7" ht="15.75" thickBot="1" x14ac:dyDescent="0.3"/>
    <row r="58" spans="1:7" ht="16.5" thickTop="1" thickBot="1" x14ac:dyDescent="0.3">
      <c r="D58" s="76"/>
      <c r="E58" s="77" t="s">
        <v>197</v>
      </c>
      <c r="F58" s="78">
        <f>F53+F56</f>
        <v>643929.13</v>
      </c>
    </row>
    <row r="59" spans="1:7" ht="15.75" thickTop="1" x14ac:dyDescent="0.25"/>
  </sheetData>
  <mergeCells count="1">
    <mergeCell ref="A1:G1"/>
  </mergeCells>
  <pageMargins left="0.51181102362204722" right="0.51181102362204722" top="1.2598425196850394" bottom="0.78740157480314965" header="0.31496062992125984" footer="0.31496062992125984"/>
  <pageSetup paperSize="9" scale="79" fitToHeight="3" orientation="portrait" r:id="rId1"/>
  <headerFooter>
    <oddHeader>&amp;C&amp;G</oddHeader>
    <oddFooter>&amp;L&amp;"-,Negrito"Estimativa em &amp;D&amp;Rn/a = não se aplica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9"/>
  <sheetViews>
    <sheetView view="pageBreakPreview" topLeftCell="A28" zoomScaleNormal="100" zoomScaleSheetLayoutView="100" workbookViewId="0">
      <selection activeCell="G44" sqref="G44"/>
    </sheetView>
  </sheetViews>
  <sheetFormatPr defaultRowHeight="15" x14ac:dyDescent="0.25"/>
  <cols>
    <col min="1" max="1" width="15.7109375" style="67" customWidth="1"/>
    <col min="2" max="2" width="6.7109375" style="67" customWidth="1"/>
    <col min="3" max="3" width="36.7109375" style="74" customWidth="1"/>
    <col min="4" max="4" width="12.7109375" style="67" customWidth="1"/>
    <col min="5" max="5" width="12.7109375" style="75" customWidth="1"/>
    <col min="6" max="7" width="15.7109375" style="67" customWidth="1"/>
    <col min="8" max="16384" width="9.140625" style="67"/>
  </cols>
  <sheetData>
    <row r="1" spans="1:7" ht="15.75" x14ac:dyDescent="0.25">
      <c r="A1" s="116" t="s">
        <v>189</v>
      </c>
      <c r="B1" s="116"/>
      <c r="C1" s="116"/>
      <c r="D1" s="116"/>
      <c r="E1" s="116"/>
      <c r="F1" s="116"/>
      <c r="G1" s="116"/>
    </row>
    <row r="2" spans="1:7" ht="24" x14ac:dyDescent="0.25">
      <c r="A2" s="68" t="s">
        <v>190</v>
      </c>
      <c r="B2" s="68" t="s">
        <v>167</v>
      </c>
      <c r="C2" s="68" t="s">
        <v>191</v>
      </c>
      <c r="D2" s="68" t="s">
        <v>192</v>
      </c>
      <c r="E2" s="69" t="s">
        <v>170</v>
      </c>
      <c r="F2" s="68" t="s">
        <v>148</v>
      </c>
      <c r="G2" s="68" t="s">
        <v>193</v>
      </c>
    </row>
    <row r="3" spans="1:7" ht="30" x14ac:dyDescent="0.25">
      <c r="A3" s="70" t="s">
        <v>194</v>
      </c>
      <c r="B3" s="70">
        <v>10</v>
      </c>
      <c r="C3" s="71" t="s">
        <v>199</v>
      </c>
      <c r="D3" s="70" t="s">
        <v>200</v>
      </c>
      <c r="E3" s="72">
        <v>152</v>
      </c>
      <c r="F3" s="73">
        <v>8.8800000000000008</v>
      </c>
      <c r="G3" s="73">
        <f t="shared" ref="G3:G44" si="0">ROUND((E3*F3),2)</f>
        <v>1349.76</v>
      </c>
    </row>
    <row r="4" spans="1:7" ht="30" x14ac:dyDescent="0.25">
      <c r="A4" s="70" t="s">
        <v>194</v>
      </c>
      <c r="B4" s="70">
        <v>11</v>
      </c>
      <c r="C4" s="71" t="s">
        <v>201</v>
      </c>
      <c r="D4" s="70" t="s">
        <v>200</v>
      </c>
      <c r="E4" s="72">
        <v>8</v>
      </c>
      <c r="F4" s="73">
        <v>17.440000000000001</v>
      </c>
      <c r="G4" s="73">
        <f t="shared" si="0"/>
        <v>139.52000000000001</v>
      </c>
    </row>
    <row r="5" spans="1:7" ht="30" x14ac:dyDescent="0.25">
      <c r="A5" s="70" t="s">
        <v>194</v>
      </c>
      <c r="B5" s="70">
        <v>12</v>
      </c>
      <c r="C5" s="71" t="s">
        <v>202</v>
      </c>
      <c r="D5" s="70" t="s">
        <v>200</v>
      </c>
      <c r="E5" s="72">
        <v>8</v>
      </c>
      <c r="F5" s="73">
        <v>17.440000000000001</v>
      </c>
      <c r="G5" s="73">
        <f t="shared" si="0"/>
        <v>139.52000000000001</v>
      </c>
    </row>
    <row r="6" spans="1:7" ht="30" x14ac:dyDescent="0.25">
      <c r="A6" s="70" t="s">
        <v>194</v>
      </c>
      <c r="B6" s="70">
        <v>13</v>
      </c>
      <c r="C6" s="71" t="s">
        <v>203</v>
      </c>
      <c r="D6" s="70" t="s">
        <v>200</v>
      </c>
      <c r="E6" s="72">
        <v>10</v>
      </c>
      <c r="F6" s="73">
        <v>15.14</v>
      </c>
      <c r="G6" s="73">
        <f t="shared" si="0"/>
        <v>151.4</v>
      </c>
    </row>
    <row r="7" spans="1:7" ht="30" x14ac:dyDescent="0.25">
      <c r="A7" s="70" t="s">
        <v>194</v>
      </c>
      <c r="B7" s="70">
        <v>14</v>
      </c>
      <c r="C7" s="71" t="s">
        <v>204</v>
      </c>
      <c r="D7" s="70" t="s">
        <v>200</v>
      </c>
      <c r="E7" s="72">
        <v>2</v>
      </c>
      <c r="F7" s="73">
        <v>33.369999999999997</v>
      </c>
      <c r="G7" s="73">
        <f t="shared" si="0"/>
        <v>66.739999999999995</v>
      </c>
    </row>
    <row r="8" spans="1:7" x14ac:dyDescent="0.25">
      <c r="A8" s="70" t="s">
        <v>194</v>
      </c>
      <c r="B8" s="70">
        <v>15</v>
      </c>
      <c r="C8" s="71" t="s">
        <v>205</v>
      </c>
      <c r="D8" s="70" t="s">
        <v>200</v>
      </c>
      <c r="E8" s="72">
        <v>456</v>
      </c>
      <c r="F8" s="73">
        <v>2.7</v>
      </c>
      <c r="G8" s="73">
        <f t="shared" si="0"/>
        <v>1231.2</v>
      </c>
    </row>
    <row r="9" spans="1:7" ht="30" x14ac:dyDescent="0.25">
      <c r="A9" s="70" t="s">
        <v>194</v>
      </c>
      <c r="B9" s="70">
        <v>16</v>
      </c>
      <c r="C9" s="71" t="s">
        <v>206</v>
      </c>
      <c r="D9" s="70" t="s">
        <v>200</v>
      </c>
      <c r="E9" s="72">
        <v>8</v>
      </c>
      <c r="F9" s="73">
        <v>192.22</v>
      </c>
      <c r="G9" s="73">
        <f t="shared" si="0"/>
        <v>1537.76</v>
      </c>
    </row>
    <row r="10" spans="1:7" ht="30" x14ac:dyDescent="0.25">
      <c r="A10" s="70" t="s">
        <v>194</v>
      </c>
      <c r="B10" s="70">
        <v>17</v>
      </c>
      <c r="C10" s="71" t="s">
        <v>207</v>
      </c>
      <c r="D10" s="70" t="s">
        <v>266</v>
      </c>
      <c r="E10" s="72">
        <v>456</v>
      </c>
      <c r="F10" s="73"/>
      <c r="G10" s="73">
        <f t="shared" si="0"/>
        <v>0</v>
      </c>
    </row>
    <row r="11" spans="1:7" x14ac:dyDescent="0.25">
      <c r="A11" s="70" t="s">
        <v>194</v>
      </c>
      <c r="B11" s="70">
        <v>18</v>
      </c>
      <c r="C11" s="71" t="s">
        <v>208</v>
      </c>
      <c r="D11" s="70" t="s">
        <v>200</v>
      </c>
      <c r="E11" s="72">
        <v>228</v>
      </c>
      <c r="F11" s="73">
        <v>7.05</v>
      </c>
      <c r="G11" s="73">
        <f t="shared" si="0"/>
        <v>1607.4</v>
      </c>
    </row>
    <row r="12" spans="1:7" x14ac:dyDescent="0.25">
      <c r="A12" s="70" t="s">
        <v>194</v>
      </c>
      <c r="B12" s="70">
        <v>19</v>
      </c>
      <c r="C12" s="71" t="s">
        <v>209</v>
      </c>
      <c r="D12" s="70" t="s">
        <v>200</v>
      </c>
      <c r="E12" s="72">
        <v>912</v>
      </c>
      <c r="F12" s="73">
        <v>4.1399999999999997</v>
      </c>
      <c r="G12" s="73">
        <f t="shared" si="0"/>
        <v>3775.68</v>
      </c>
    </row>
    <row r="13" spans="1:7" x14ac:dyDescent="0.25">
      <c r="A13" s="70" t="s">
        <v>194</v>
      </c>
      <c r="B13" s="70">
        <v>20</v>
      </c>
      <c r="C13" s="71" t="s">
        <v>210</v>
      </c>
      <c r="D13" s="70" t="s">
        <v>200</v>
      </c>
      <c r="E13" s="72">
        <v>16</v>
      </c>
      <c r="F13" s="73">
        <v>23.2</v>
      </c>
      <c r="G13" s="73">
        <f t="shared" si="0"/>
        <v>371.2</v>
      </c>
    </row>
    <row r="14" spans="1:7" x14ac:dyDescent="0.25">
      <c r="A14" s="70" t="s">
        <v>194</v>
      </c>
      <c r="B14" s="70">
        <v>21</v>
      </c>
      <c r="C14" s="71" t="s">
        <v>211</v>
      </c>
      <c r="D14" s="70" t="s">
        <v>200</v>
      </c>
      <c r="E14" s="72">
        <v>20</v>
      </c>
      <c r="F14" s="73">
        <v>8.98</v>
      </c>
      <c r="G14" s="73">
        <f t="shared" si="0"/>
        <v>179.6</v>
      </c>
    </row>
    <row r="15" spans="1:7" x14ac:dyDescent="0.25">
      <c r="A15" s="70" t="s">
        <v>194</v>
      </c>
      <c r="B15" s="70">
        <v>22</v>
      </c>
      <c r="C15" s="71" t="s">
        <v>212</v>
      </c>
      <c r="D15" s="70" t="s">
        <v>200</v>
      </c>
      <c r="E15" s="72">
        <v>228</v>
      </c>
      <c r="F15" s="73">
        <v>5.43</v>
      </c>
      <c r="G15" s="73">
        <f t="shared" si="0"/>
        <v>1238.04</v>
      </c>
    </row>
    <row r="16" spans="1:7" ht="30" x14ac:dyDescent="0.25">
      <c r="A16" s="70" t="s">
        <v>194</v>
      </c>
      <c r="B16" s="70">
        <v>23</v>
      </c>
      <c r="C16" s="71" t="s">
        <v>213</v>
      </c>
      <c r="D16" s="70" t="s">
        <v>200</v>
      </c>
      <c r="E16" s="72">
        <v>228</v>
      </c>
      <c r="F16" s="73">
        <v>17.55</v>
      </c>
      <c r="G16" s="73">
        <f t="shared" si="0"/>
        <v>4001.4</v>
      </c>
    </row>
    <row r="17" spans="1:7" x14ac:dyDescent="0.25">
      <c r="A17" s="70" t="s">
        <v>194</v>
      </c>
      <c r="B17" s="70">
        <v>24</v>
      </c>
      <c r="C17" s="71" t="s">
        <v>214</v>
      </c>
      <c r="D17" s="70" t="s">
        <v>215</v>
      </c>
      <c r="E17" s="72">
        <v>1000</v>
      </c>
      <c r="F17" s="73">
        <v>0.73</v>
      </c>
      <c r="G17" s="73">
        <f t="shared" si="0"/>
        <v>730</v>
      </c>
    </row>
    <row r="18" spans="1:7" x14ac:dyDescent="0.25">
      <c r="A18" s="70" t="s">
        <v>194</v>
      </c>
      <c r="B18" s="70">
        <v>25</v>
      </c>
      <c r="C18" s="71" t="s">
        <v>216</v>
      </c>
      <c r="D18" s="70" t="s">
        <v>215</v>
      </c>
      <c r="E18" s="72">
        <v>100</v>
      </c>
      <c r="F18" s="73">
        <v>1</v>
      </c>
      <c r="G18" s="73">
        <f t="shared" si="0"/>
        <v>100</v>
      </c>
    </row>
    <row r="19" spans="1:7" x14ac:dyDescent="0.25">
      <c r="A19" s="70" t="s">
        <v>194</v>
      </c>
      <c r="B19" s="70">
        <v>26</v>
      </c>
      <c r="C19" s="71" t="s">
        <v>217</v>
      </c>
      <c r="D19" s="70" t="s">
        <v>218</v>
      </c>
      <c r="E19" s="72">
        <v>50</v>
      </c>
      <c r="F19" s="73">
        <v>38.53</v>
      </c>
      <c r="G19" s="73">
        <f t="shared" si="0"/>
        <v>1926.5</v>
      </c>
    </row>
    <row r="20" spans="1:7" x14ac:dyDescent="0.25">
      <c r="A20" s="70" t="s">
        <v>194</v>
      </c>
      <c r="B20" s="70">
        <v>27</v>
      </c>
      <c r="C20" s="71" t="s">
        <v>219</v>
      </c>
      <c r="D20" s="70" t="s">
        <v>215</v>
      </c>
      <c r="E20" s="72">
        <v>100</v>
      </c>
      <c r="F20" s="73">
        <v>3.11</v>
      </c>
      <c r="G20" s="73">
        <f t="shared" si="0"/>
        <v>311</v>
      </c>
    </row>
    <row r="21" spans="1:7" x14ac:dyDescent="0.25">
      <c r="A21" s="70" t="s">
        <v>194</v>
      </c>
      <c r="B21" s="70">
        <v>28</v>
      </c>
      <c r="C21" s="71" t="s">
        <v>220</v>
      </c>
      <c r="D21" s="70" t="s">
        <v>221</v>
      </c>
      <c r="E21" s="72">
        <v>5</v>
      </c>
      <c r="F21" s="73">
        <v>19.190000000000001</v>
      </c>
      <c r="G21" s="73">
        <f t="shared" si="0"/>
        <v>95.95</v>
      </c>
    </row>
    <row r="22" spans="1:7" x14ac:dyDescent="0.25">
      <c r="A22" s="70" t="s">
        <v>194</v>
      </c>
      <c r="B22" s="70">
        <v>29</v>
      </c>
      <c r="C22" s="71" t="s">
        <v>222</v>
      </c>
      <c r="D22" s="70" t="s">
        <v>218</v>
      </c>
      <c r="E22" s="72">
        <v>48</v>
      </c>
      <c r="F22" s="73">
        <v>40.21</v>
      </c>
      <c r="G22" s="73">
        <f t="shared" si="0"/>
        <v>1930.08</v>
      </c>
    </row>
    <row r="23" spans="1:7" x14ac:dyDescent="0.25">
      <c r="A23" s="70" t="s">
        <v>194</v>
      </c>
      <c r="B23" s="70">
        <v>30</v>
      </c>
      <c r="C23" s="71" t="s">
        <v>223</v>
      </c>
      <c r="D23" s="70" t="s">
        <v>224</v>
      </c>
      <c r="E23" s="72">
        <v>50</v>
      </c>
      <c r="F23" s="73">
        <v>0.74</v>
      </c>
      <c r="G23" s="73">
        <f t="shared" si="0"/>
        <v>37</v>
      </c>
    </row>
    <row r="24" spans="1:7" x14ac:dyDescent="0.25">
      <c r="A24" s="70" t="s">
        <v>194</v>
      </c>
      <c r="B24" s="70">
        <v>31</v>
      </c>
      <c r="C24" s="71" t="s">
        <v>225</v>
      </c>
      <c r="D24" s="70" t="s">
        <v>218</v>
      </c>
      <c r="E24" s="72">
        <f>(8*55)+(4*66)</f>
        <v>704</v>
      </c>
      <c r="F24" s="73">
        <v>1.95</v>
      </c>
      <c r="G24" s="73">
        <f t="shared" si="0"/>
        <v>1372.8</v>
      </c>
    </row>
    <row r="25" spans="1:7" x14ac:dyDescent="0.25">
      <c r="A25" s="70" t="s">
        <v>194</v>
      </c>
      <c r="B25" s="70">
        <v>32</v>
      </c>
      <c r="C25" s="71" t="s">
        <v>226</v>
      </c>
      <c r="D25" s="70" t="s">
        <v>218</v>
      </c>
      <c r="E25" s="72">
        <f>(8*45)+(4*53)</f>
        <v>572</v>
      </c>
      <c r="F25" s="73">
        <v>4.54</v>
      </c>
      <c r="G25" s="73">
        <f t="shared" si="0"/>
        <v>2596.88</v>
      </c>
    </row>
    <row r="26" spans="1:7" x14ac:dyDescent="0.25">
      <c r="A26" s="70" t="s">
        <v>194</v>
      </c>
      <c r="B26" s="70">
        <v>33</v>
      </c>
      <c r="C26" s="71" t="s">
        <v>227</v>
      </c>
      <c r="D26" s="70" t="s">
        <v>200</v>
      </c>
      <c r="E26" s="72">
        <f>(8*2)+(4*3)</f>
        <v>28</v>
      </c>
      <c r="F26" s="73">
        <v>6.33</v>
      </c>
      <c r="G26" s="73">
        <f t="shared" si="0"/>
        <v>177.24</v>
      </c>
    </row>
    <row r="27" spans="1:7" x14ac:dyDescent="0.25">
      <c r="A27" s="70" t="s">
        <v>194</v>
      </c>
      <c r="B27" s="70">
        <v>34</v>
      </c>
      <c r="C27" s="71" t="s">
        <v>228</v>
      </c>
      <c r="D27" s="70" t="s">
        <v>218</v>
      </c>
      <c r="E27" s="72">
        <f>(8*10)+(4*10)</f>
        <v>120</v>
      </c>
      <c r="F27" s="73">
        <v>5.36</v>
      </c>
      <c r="G27" s="73">
        <f t="shared" si="0"/>
        <v>643.20000000000005</v>
      </c>
    </row>
    <row r="28" spans="1:7" x14ac:dyDescent="0.25">
      <c r="A28" s="70" t="s">
        <v>194</v>
      </c>
      <c r="B28" s="70">
        <v>35</v>
      </c>
      <c r="C28" s="71" t="s">
        <v>229</v>
      </c>
      <c r="D28" s="70" t="s">
        <v>218</v>
      </c>
      <c r="E28" s="72">
        <f>(8*50)+(4*60)</f>
        <v>640</v>
      </c>
      <c r="F28" s="73">
        <v>10.199999999999999</v>
      </c>
      <c r="G28" s="73">
        <f t="shared" si="0"/>
        <v>6528</v>
      </c>
    </row>
    <row r="29" spans="1:7" x14ac:dyDescent="0.25">
      <c r="A29" s="70" t="s">
        <v>194</v>
      </c>
      <c r="B29" s="70">
        <v>36</v>
      </c>
      <c r="C29" s="71" t="s">
        <v>230</v>
      </c>
      <c r="D29" s="70" t="s">
        <v>200</v>
      </c>
      <c r="E29" s="72">
        <f>(8*70)+(4*80)</f>
        <v>880</v>
      </c>
      <c r="F29" s="73">
        <v>1.59</v>
      </c>
      <c r="G29" s="73">
        <f t="shared" si="0"/>
        <v>1399.2</v>
      </c>
    </row>
    <row r="30" spans="1:7" x14ac:dyDescent="0.25">
      <c r="A30" s="70" t="s">
        <v>194</v>
      </c>
      <c r="B30" s="70">
        <v>37</v>
      </c>
      <c r="C30" s="71" t="s">
        <v>231</v>
      </c>
      <c r="D30" s="70" t="s">
        <v>218</v>
      </c>
      <c r="E30" s="72">
        <f>(8*50)+(4*65)</f>
        <v>660</v>
      </c>
      <c r="F30" s="73">
        <v>7.49</v>
      </c>
      <c r="G30" s="73">
        <f t="shared" si="0"/>
        <v>4943.3999999999996</v>
      </c>
    </row>
    <row r="31" spans="1:7" x14ac:dyDescent="0.25">
      <c r="A31" s="70" t="s">
        <v>194</v>
      </c>
      <c r="B31" s="70">
        <v>38</v>
      </c>
      <c r="C31" s="71" t="s">
        <v>232</v>
      </c>
      <c r="D31" s="70" t="s">
        <v>218</v>
      </c>
      <c r="E31" s="72">
        <f>(8*45)+(4*55)</f>
        <v>580</v>
      </c>
      <c r="F31" s="73">
        <v>12.73</v>
      </c>
      <c r="G31" s="73">
        <f t="shared" si="0"/>
        <v>7383.4</v>
      </c>
    </row>
    <row r="32" spans="1:7" x14ac:dyDescent="0.25">
      <c r="A32" s="70" t="s">
        <v>194</v>
      </c>
      <c r="B32" s="70">
        <v>39</v>
      </c>
      <c r="C32" s="71" t="s">
        <v>233</v>
      </c>
      <c r="D32" s="70" t="s">
        <v>200</v>
      </c>
      <c r="E32" s="72">
        <f>(8*2)+(4*2)</f>
        <v>24</v>
      </c>
      <c r="F32" s="73">
        <v>3.49</v>
      </c>
      <c r="G32" s="73">
        <f t="shared" si="0"/>
        <v>83.76</v>
      </c>
    </row>
    <row r="33" spans="1:7" x14ac:dyDescent="0.25">
      <c r="A33" s="70" t="s">
        <v>194</v>
      </c>
      <c r="B33" s="70">
        <v>40</v>
      </c>
      <c r="C33" s="71" t="s">
        <v>234</v>
      </c>
      <c r="D33" s="70" t="s">
        <v>235</v>
      </c>
      <c r="E33" s="72">
        <f>(8*3)+(4*4)</f>
        <v>40</v>
      </c>
      <c r="F33" s="73">
        <v>2.74</v>
      </c>
      <c r="G33" s="73">
        <f t="shared" si="0"/>
        <v>109.6</v>
      </c>
    </row>
    <row r="34" spans="1:7" x14ac:dyDescent="0.25">
      <c r="A34" s="70" t="s">
        <v>194</v>
      </c>
      <c r="B34" s="70">
        <v>41</v>
      </c>
      <c r="C34" s="71" t="s">
        <v>236</v>
      </c>
      <c r="D34" s="70" t="s">
        <v>200</v>
      </c>
      <c r="E34" s="72">
        <f>(8*80)+(4*95)</f>
        <v>1020</v>
      </c>
      <c r="F34" s="73">
        <v>0.85</v>
      </c>
      <c r="G34" s="73">
        <f t="shared" si="0"/>
        <v>867</v>
      </c>
    </row>
    <row r="35" spans="1:7" x14ac:dyDescent="0.25">
      <c r="A35" s="70" t="s">
        <v>194</v>
      </c>
      <c r="B35" s="70">
        <v>42</v>
      </c>
      <c r="C35" s="71" t="s">
        <v>237</v>
      </c>
      <c r="D35" s="70" t="s">
        <v>235</v>
      </c>
      <c r="E35" s="72">
        <f>(8*2)+(4*2)</f>
        <v>24</v>
      </c>
      <c r="F35" s="73">
        <v>6.69</v>
      </c>
      <c r="G35" s="73">
        <f t="shared" si="0"/>
        <v>160.56</v>
      </c>
    </row>
    <row r="36" spans="1:7" ht="30" x14ac:dyDescent="0.25">
      <c r="A36" s="70" t="s">
        <v>194</v>
      </c>
      <c r="B36" s="70">
        <v>43</v>
      </c>
      <c r="C36" s="71" t="s">
        <v>238</v>
      </c>
      <c r="D36" s="70" t="s">
        <v>200</v>
      </c>
      <c r="E36" s="72">
        <f>(8*15)+(4*18)</f>
        <v>192</v>
      </c>
      <c r="F36" s="73">
        <v>8.4700000000000006</v>
      </c>
      <c r="G36" s="73">
        <f t="shared" si="0"/>
        <v>1626.24</v>
      </c>
    </row>
    <row r="37" spans="1:7" x14ac:dyDescent="0.25">
      <c r="A37" s="70" t="s">
        <v>194</v>
      </c>
      <c r="B37" s="70">
        <v>44</v>
      </c>
      <c r="C37" s="71" t="s">
        <v>239</v>
      </c>
      <c r="D37" s="70" t="s">
        <v>218</v>
      </c>
      <c r="E37" s="72">
        <f>(8*20)+(4*25)</f>
        <v>260</v>
      </c>
      <c r="F37" s="73">
        <v>4.17</v>
      </c>
      <c r="G37" s="73">
        <f t="shared" si="0"/>
        <v>1084.2</v>
      </c>
    </row>
    <row r="38" spans="1:7" x14ac:dyDescent="0.25">
      <c r="A38" s="70" t="s">
        <v>194</v>
      </c>
      <c r="B38" s="70">
        <v>45</v>
      </c>
      <c r="C38" s="71" t="s">
        <v>240</v>
      </c>
      <c r="D38" s="70" t="s">
        <v>200</v>
      </c>
      <c r="E38" s="72">
        <f>(8*10)+(4*10)</f>
        <v>120</v>
      </c>
      <c r="F38" s="73">
        <v>2.29</v>
      </c>
      <c r="G38" s="73">
        <f t="shared" si="0"/>
        <v>274.8</v>
      </c>
    </row>
    <row r="39" spans="1:7" x14ac:dyDescent="0.25">
      <c r="A39" s="70" t="s">
        <v>194</v>
      </c>
      <c r="B39" s="70">
        <v>46</v>
      </c>
      <c r="C39" s="71" t="s">
        <v>241</v>
      </c>
      <c r="D39" s="70" t="s">
        <v>235</v>
      </c>
      <c r="E39" s="72">
        <f>(8*2)+(4*3)</f>
        <v>28</v>
      </c>
      <c r="F39" s="73">
        <v>1.23</v>
      </c>
      <c r="G39" s="73">
        <f t="shared" si="0"/>
        <v>34.44</v>
      </c>
    </row>
    <row r="40" spans="1:7" ht="90" x14ac:dyDescent="0.25">
      <c r="A40" s="70" t="s">
        <v>194</v>
      </c>
      <c r="B40" s="70">
        <v>47</v>
      </c>
      <c r="C40" s="71" t="s">
        <v>242</v>
      </c>
      <c r="D40" s="70" t="s">
        <v>243</v>
      </c>
      <c r="E40" s="72">
        <f>(8*80)+(4*90)</f>
        <v>1000</v>
      </c>
      <c r="F40" s="73">
        <v>75.989999999999995</v>
      </c>
      <c r="G40" s="73">
        <f t="shared" si="0"/>
        <v>75990</v>
      </c>
    </row>
    <row r="41" spans="1:7" ht="75" x14ac:dyDescent="0.25">
      <c r="A41" s="70" t="s">
        <v>194</v>
      </c>
      <c r="B41" s="70">
        <v>48</v>
      </c>
      <c r="C41" s="71" t="s">
        <v>244</v>
      </c>
      <c r="D41" s="70" t="s">
        <v>245</v>
      </c>
      <c r="E41" s="72">
        <f>(8*450)+(4*500)</f>
        <v>5600</v>
      </c>
      <c r="F41" s="73">
        <v>68</v>
      </c>
      <c r="G41" s="73">
        <f t="shared" si="0"/>
        <v>380800</v>
      </c>
    </row>
    <row r="42" spans="1:7" x14ac:dyDescent="0.25">
      <c r="A42" s="70" t="s">
        <v>194</v>
      </c>
      <c r="B42" s="70">
        <v>49</v>
      </c>
      <c r="C42" s="71" t="s">
        <v>246</v>
      </c>
      <c r="D42" s="70" t="s">
        <v>200</v>
      </c>
      <c r="E42" s="72">
        <f>(8*5)+(4*5)</f>
        <v>60</v>
      </c>
      <c r="F42" s="73">
        <v>13.64</v>
      </c>
      <c r="G42" s="73">
        <f t="shared" si="0"/>
        <v>818.4</v>
      </c>
    </row>
    <row r="43" spans="1:7" x14ac:dyDescent="0.25">
      <c r="A43" s="70" t="s">
        <v>194</v>
      </c>
      <c r="B43" s="70">
        <v>50</v>
      </c>
      <c r="C43" s="71" t="s">
        <v>247</v>
      </c>
      <c r="D43" s="70" t="s">
        <v>200</v>
      </c>
      <c r="E43" s="72">
        <f>(8*10)+(4*12)</f>
        <v>128</v>
      </c>
      <c r="F43" s="73">
        <v>8.3800000000000008</v>
      </c>
      <c r="G43" s="73">
        <f t="shared" si="0"/>
        <v>1072.6400000000001</v>
      </c>
    </row>
    <row r="44" spans="1:7" x14ac:dyDescent="0.25">
      <c r="A44" s="70" t="s">
        <v>194</v>
      </c>
      <c r="B44" s="70">
        <v>100</v>
      </c>
      <c r="C44" s="71" t="s">
        <v>267</v>
      </c>
      <c r="D44" s="70" t="s">
        <v>218</v>
      </c>
      <c r="E44" s="72">
        <f>(40*8)+(55*4)</f>
        <v>540</v>
      </c>
      <c r="F44" s="73">
        <v>3.8</v>
      </c>
      <c r="G44" s="73">
        <f t="shared" si="0"/>
        <v>2052</v>
      </c>
    </row>
    <row r="45" spans="1:7" x14ac:dyDescent="0.25">
      <c r="A45" s="70" t="s">
        <v>194</v>
      </c>
      <c r="B45" s="70">
        <v>51</v>
      </c>
      <c r="C45" s="71" t="s">
        <v>248</v>
      </c>
      <c r="D45" s="70" t="s">
        <v>218</v>
      </c>
      <c r="E45" s="72">
        <f>(8*100)+(4*120)</f>
        <v>1280</v>
      </c>
      <c r="F45" s="73">
        <v>3.17</v>
      </c>
      <c r="G45" s="73">
        <f>ROUND((E45*F45),2)</f>
        <v>4057.6</v>
      </c>
    </row>
    <row r="46" spans="1:7" ht="30" x14ac:dyDescent="0.25">
      <c r="A46" s="70" t="s">
        <v>194</v>
      </c>
      <c r="B46" s="70">
        <v>52</v>
      </c>
      <c r="C46" s="71" t="s">
        <v>249</v>
      </c>
      <c r="D46" s="70" t="s">
        <v>200</v>
      </c>
      <c r="E46" s="72">
        <f>(8*1200)+(4*1440)</f>
        <v>15360</v>
      </c>
      <c r="F46" s="73">
        <v>0.6</v>
      </c>
      <c r="G46" s="73">
        <f t="shared" ref="G46:G51" si="1">ROUND((E46*F46),2)</f>
        <v>9216</v>
      </c>
    </row>
    <row r="47" spans="1:7" ht="30" x14ac:dyDescent="0.25">
      <c r="A47" s="70" t="s">
        <v>194</v>
      </c>
      <c r="B47" s="70">
        <v>53</v>
      </c>
      <c r="C47" s="71" t="s">
        <v>250</v>
      </c>
      <c r="D47" s="70" t="s">
        <v>200</v>
      </c>
      <c r="E47" s="72">
        <f t="shared" ref="E47:E48" si="2">(8*1200)+(4*1440)</f>
        <v>15360</v>
      </c>
      <c r="F47" s="73">
        <v>0.66</v>
      </c>
      <c r="G47" s="73">
        <f t="shared" si="1"/>
        <v>10137.6</v>
      </c>
    </row>
    <row r="48" spans="1:7" ht="30" x14ac:dyDescent="0.25">
      <c r="A48" s="70" t="s">
        <v>194</v>
      </c>
      <c r="B48" s="70">
        <v>54</v>
      </c>
      <c r="C48" s="71" t="s">
        <v>251</v>
      </c>
      <c r="D48" s="70" t="s">
        <v>200</v>
      </c>
      <c r="E48" s="72">
        <f t="shared" si="2"/>
        <v>15360</v>
      </c>
      <c r="F48" s="73">
        <v>0.13</v>
      </c>
      <c r="G48" s="73">
        <f t="shared" si="1"/>
        <v>1996.8</v>
      </c>
    </row>
    <row r="49" spans="1:7" ht="30" x14ac:dyDescent="0.25">
      <c r="A49" s="70" t="s">
        <v>194</v>
      </c>
      <c r="B49" s="70">
        <v>55</v>
      </c>
      <c r="C49" s="71" t="s">
        <v>252</v>
      </c>
      <c r="D49" s="70" t="s">
        <v>200</v>
      </c>
      <c r="E49" s="72">
        <f>(8*700)+(4*840)</f>
        <v>8960</v>
      </c>
      <c r="F49" s="73">
        <v>1.25</v>
      </c>
      <c r="G49" s="73">
        <f t="shared" si="1"/>
        <v>11200</v>
      </c>
    </row>
    <row r="50" spans="1:7" ht="30" x14ac:dyDescent="0.25">
      <c r="A50" s="70" t="s">
        <v>194</v>
      </c>
      <c r="B50" s="70">
        <v>56</v>
      </c>
      <c r="C50" s="71" t="s">
        <v>253</v>
      </c>
      <c r="D50" s="70" t="s">
        <v>200</v>
      </c>
      <c r="E50" s="72">
        <f>(8*300)+(4*400)</f>
        <v>4000</v>
      </c>
      <c r="F50" s="73">
        <v>0.52</v>
      </c>
      <c r="G50" s="73">
        <f t="shared" si="1"/>
        <v>2080</v>
      </c>
    </row>
    <row r="51" spans="1:7" x14ac:dyDescent="0.25">
      <c r="A51" s="70" t="s">
        <v>194</v>
      </c>
      <c r="B51" s="70">
        <v>57</v>
      </c>
      <c r="C51" s="71" t="s">
        <v>254</v>
      </c>
      <c r="D51" s="70" t="s">
        <v>200</v>
      </c>
      <c r="E51" s="72">
        <f>(8*4)+(4*5)</f>
        <v>52</v>
      </c>
      <c r="F51" s="73">
        <v>5.24</v>
      </c>
      <c r="G51" s="73">
        <f t="shared" si="1"/>
        <v>272.48</v>
      </c>
    </row>
    <row r="52" spans="1:7" ht="15.75" thickBot="1" x14ac:dyDescent="0.3"/>
    <row r="53" spans="1:7" ht="16.5" thickTop="1" thickBot="1" x14ac:dyDescent="0.3">
      <c r="D53" s="76"/>
      <c r="E53" s="77" t="s">
        <v>195</v>
      </c>
      <c r="F53" s="78">
        <f>SUM(G:G)</f>
        <v>549897.99</v>
      </c>
    </row>
    <row r="54" spans="1:7" ht="15.75" thickTop="1" x14ac:dyDescent="0.25">
      <c r="F54" s="79"/>
    </row>
    <row r="56" spans="1:7" x14ac:dyDescent="0.25">
      <c r="D56" s="80" t="s">
        <v>196</v>
      </c>
      <c r="E56" s="81">
        <f>servente20!C147</f>
        <v>0.21839080459770144</v>
      </c>
      <c r="F56" s="82">
        <f>ROUND(E56*F53,2)</f>
        <v>120092.66</v>
      </c>
    </row>
    <row r="57" spans="1:7" ht="15.75" thickBot="1" x14ac:dyDescent="0.3"/>
    <row r="58" spans="1:7" ht="16.5" thickTop="1" thickBot="1" x14ac:dyDescent="0.3">
      <c r="D58" s="76"/>
      <c r="E58" s="77" t="s">
        <v>197</v>
      </c>
      <c r="F58" s="78">
        <f>F53+F56</f>
        <v>669990.65</v>
      </c>
    </row>
    <row r="59" spans="1:7" ht="15.75" thickTop="1" x14ac:dyDescent="0.25"/>
  </sheetData>
  <mergeCells count="1">
    <mergeCell ref="A1:G1"/>
  </mergeCells>
  <pageMargins left="0.51181102362204722" right="0.51181102362204722" top="1.2598425196850394" bottom="0.78740157480314965" header="0.31496062992125984" footer="0.31496062992125984"/>
  <pageSetup paperSize="9" scale="79" fitToHeight="3" orientation="portrait" r:id="rId1"/>
  <headerFooter>
    <oddHeader>&amp;C&amp;G</oddHeader>
    <oddFooter>&amp;L&amp;"-,Negrito"Estimativa em &amp;D&amp;Rn/a = não se aplica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53"/>
  <sheetViews>
    <sheetView view="pageBreakPreview" zoomScaleNormal="100" zoomScaleSheetLayoutView="100" workbookViewId="0">
      <selection activeCell="K95" sqref="K95"/>
    </sheetView>
  </sheetViews>
  <sheetFormatPr defaultRowHeight="12.75" x14ac:dyDescent="0.2"/>
  <cols>
    <col min="1" max="1" width="15.7109375" style="1" customWidth="1"/>
    <col min="2" max="16384" width="9.140625" style="1"/>
  </cols>
  <sheetData>
    <row r="1" spans="1:21" x14ac:dyDescent="0.2">
      <c r="A1" s="34" t="s">
        <v>161</v>
      </c>
    </row>
    <row r="2" spans="1:21" x14ac:dyDescent="0.2">
      <c r="A2" s="1" t="s">
        <v>121</v>
      </c>
    </row>
    <row r="3" spans="1:21" x14ac:dyDescent="0.2">
      <c r="A3" s="1" t="s">
        <v>122</v>
      </c>
    </row>
    <row r="4" spans="1:21" x14ac:dyDescent="0.2">
      <c r="A4" s="1" t="s">
        <v>123</v>
      </c>
    </row>
    <row r="5" spans="1:21" x14ac:dyDescent="0.2">
      <c r="A5" s="1" t="s">
        <v>124</v>
      </c>
    </row>
    <row r="6" spans="1:21" x14ac:dyDescent="0.2">
      <c r="A6" s="1" t="s">
        <v>125</v>
      </c>
    </row>
    <row r="7" spans="1:21" x14ac:dyDescent="0.2">
      <c r="A7" s="1" t="s">
        <v>126</v>
      </c>
    </row>
    <row r="8" spans="1:21" x14ac:dyDescent="0.2">
      <c r="A8" s="1" t="s">
        <v>127</v>
      </c>
    </row>
    <row r="9" spans="1:21" x14ac:dyDescent="0.2">
      <c r="A9" s="1" t="s">
        <v>128</v>
      </c>
    </row>
    <row r="10" spans="1:21" x14ac:dyDescent="0.2">
      <c r="A10" s="1" t="s">
        <v>129</v>
      </c>
    </row>
    <row r="11" spans="1:21" x14ac:dyDescent="0.2">
      <c r="A11" s="1" t="s">
        <v>130</v>
      </c>
    </row>
    <row r="12" spans="1:21" x14ac:dyDescent="0.2">
      <c r="A12" s="1" t="s">
        <v>131</v>
      </c>
    </row>
    <row r="13" spans="1:21" x14ac:dyDescent="0.2">
      <c r="A13" s="34" t="s">
        <v>132</v>
      </c>
    </row>
    <row r="14" spans="1:21" s="36" customFormat="1" ht="24.95" customHeight="1" x14ac:dyDescent="0.25">
      <c r="A14" s="35" t="s">
        <v>133</v>
      </c>
      <c r="B14" s="117" t="str">
        <f>auxjard!A15</f>
        <v>Auxiliar de Jardinagem</v>
      </c>
      <c r="C14" s="118"/>
      <c r="D14" s="117" t="str">
        <f>cabotur!A15</f>
        <v>Cabo de Turma</v>
      </c>
      <c r="E14" s="118"/>
      <c r="F14" s="117" t="str">
        <f>coordadm!A15</f>
        <v>Coordenador Administrativo</v>
      </c>
      <c r="G14" s="118"/>
      <c r="H14" s="117" t="str">
        <f>coordope!A15</f>
        <v>Coordenador Operacional</v>
      </c>
      <c r="I14" s="118"/>
      <c r="J14" s="117" t="str">
        <f>jardineiro!A15</f>
        <v xml:space="preserve">Jardineiro </v>
      </c>
      <c r="K14" s="118"/>
      <c r="L14" s="117" t="str">
        <f>lavadorveic!A15</f>
        <v>Lavador de Veículo</v>
      </c>
      <c r="M14" s="118"/>
      <c r="N14" s="117" t="str">
        <f>limpavidro!A15</f>
        <v>Limpador de Vidros</v>
      </c>
      <c r="O14" s="118"/>
      <c r="P14" s="117" t="str">
        <f>servente20!A15</f>
        <v>Servente de Limpeza - insalubridade 20%</v>
      </c>
      <c r="Q14" s="118"/>
      <c r="R14" s="117" t="str">
        <f>servente40!A15</f>
        <v>Servente de Limpeza - insalubridade 40%</v>
      </c>
      <c r="S14" s="118"/>
      <c r="T14" s="117" t="str">
        <f>varredor!A15</f>
        <v>Varredor</v>
      </c>
      <c r="U14" s="118"/>
    </row>
    <row r="15" spans="1:21" x14ac:dyDescent="0.2">
      <c r="A15" s="37" t="s">
        <v>134</v>
      </c>
      <c r="B15" s="38"/>
      <c r="C15" s="39">
        <f>auxjard!D35</f>
        <v>1530</v>
      </c>
      <c r="D15" s="38"/>
      <c r="E15" s="39">
        <f>cabotur!D35</f>
        <v>1941.6</v>
      </c>
      <c r="F15" s="38"/>
      <c r="G15" s="39">
        <f>coordadm!D35</f>
        <v>2209.06</v>
      </c>
      <c r="H15" s="38"/>
      <c r="I15" s="39">
        <f>coordope!D35</f>
        <v>2209.06</v>
      </c>
      <c r="J15" s="38"/>
      <c r="K15" s="39">
        <f>jardineiro!D35</f>
        <v>1592.26</v>
      </c>
      <c r="L15" s="38"/>
      <c r="M15" s="39">
        <f>lavadorveic!D35</f>
        <v>1530</v>
      </c>
      <c r="N15" s="38"/>
      <c r="O15" s="39">
        <f>limpavidro!D35</f>
        <v>1542.3</v>
      </c>
      <c r="P15" s="38"/>
      <c r="Q15" s="39">
        <f>servente20!D35</f>
        <v>1833.6</v>
      </c>
      <c r="R15" s="38"/>
      <c r="S15" s="39">
        <f>servente40!D35</f>
        <v>2137.1999999999998</v>
      </c>
      <c r="T15" s="38"/>
      <c r="U15" s="39">
        <f>varredor!D35</f>
        <v>1530</v>
      </c>
    </row>
    <row r="16" spans="1:21" x14ac:dyDescent="0.2">
      <c r="A16" s="37" t="s">
        <v>135</v>
      </c>
      <c r="B16" s="38">
        <v>200</v>
      </c>
      <c r="C16" s="39">
        <f>ROUND(C15/B16,2)</f>
        <v>7.65</v>
      </c>
      <c r="D16" s="38">
        <v>200</v>
      </c>
      <c r="E16" s="39">
        <f>ROUND(E15/D16,2)</f>
        <v>9.7100000000000009</v>
      </c>
      <c r="F16" s="38">
        <v>200</v>
      </c>
      <c r="G16" s="39">
        <f>ROUND(G15/F16,2)</f>
        <v>11.05</v>
      </c>
      <c r="H16" s="38">
        <v>200</v>
      </c>
      <c r="I16" s="39">
        <f>ROUND(I15/H16,2)</f>
        <v>11.05</v>
      </c>
      <c r="J16" s="38">
        <v>200</v>
      </c>
      <c r="K16" s="39">
        <f>ROUND(K15/J16,2)</f>
        <v>7.96</v>
      </c>
      <c r="L16" s="38">
        <v>200</v>
      </c>
      <c r="M16" s="39">
        <f>ROUND(M15/L16,2)</f>
        <v>7.65</v>
      </c>
      <c r="N16" s="38">
        <v>200</v>
      </c>
      <c r="O16" s="39">
        <f>ROUND(O15/N16,2)</f>
        <v>7.71</v>
      </c>
      <c r="P16" s="38">
        <v>200</v>
      </c>
      <c r="Q16" s="39">
        <f>ROUND(Q15/P16,2)</f>
        <v>9.17</v>
      </c>
      <c r="R16" s="38">
        <v>200</v>
      </c>
      <c r="S16" s="39">
        <f>ROUND(S15/R16,2)</f>
        <v>10.69</v>
      </c>
      <c r="T16" s="38">
        <v>200</v>
      </c>
      <c r="U16" s="39">
        <f>ROUND(U15/T16,2)</f>
        <v>7.65</v>
      </c>
    </row>
    <row r="17" spans="1:21" x14ac:dyDescent="0.2">
      <c r="A17" s="37" t="s">
        <v>136</v>
      </c>
      <c r="B17" s="40">
        <f>auxjard!C45</f>
        <v>0.19440000000000002</v>
      </c>
      <c r="C17" s="39">
        <f>ROUND(C16*B17,2)</f>
        <v>1.49</v>
      </c>
      <c r="D17" s="40">
        <f>cabotur!C45</f>
        <v>0.19440000000000002</v>
      </c>
      <c r="E17" s="39">
        <f>ROUND(E16*D17,2)</f>
        <v>1.89</v>
      </c>
      <c r="F17" s="40">
        <f>coordadm!C45</f>
        <v>0.19440000000000002</v>
      </c>
      <c r="G17" s="39">
        <f>ROUND(G16*F17,2)</f>
        <v>2.15</v>
      </c>
      <c r="H17" s="40">
        <f>coordope!C45</f>
        <v>0.19440000000000002</v>
      </c>
      <c r="I17" s="39">
        <f>ROUND(I16*H17,2)</f>
        <v>2.15</v>
      </c>
      <c r="J17" s="40">
        <f>jardineiro!C45</f>
        <v>0.19440000000000002</v>
      </c>
      <c r="K17" s="39">
        <f>ROUND(K16*J17,2)</f>
        <v>1.55</v>
      </c>
      <c r="L17" s="40">
        <f>lavadorveic!C45</f>
        <v>0.19440000000000002</v>
      </c>
      <c r="M17" s="39">
        <f>ROUND(M16*L17,2)</f>
        <v>1.49</v>
      </c>
      <c r="N17" s="40">
        <f>limpavidro!C45</f>
        <v>0.19440000000000002</v>
      </c>
      <c r="O17" s="39">
        <f>ROUND(O16*N17,2)</f>
        <v>1.5</v>
      </c>
      <c r="P17" s="40">
        <f>servente20!C45</f>
        <v>0.19440000000000002</v>
      </c>
      <c r="Q17" s="39">
        <f>ROUND(Q16*P17,2)</f>
        <v>1.78</v>
      </c>
      <c r="R17" s="40">
        <f>servente40!C45</f>
        <v>0.19440000000000002</v>
      </c>
      <c r="S17" s="39">
        <f>ROUND(S16*R17,2)</f>
        <v>2.08</v>
      </c>
      <c r="T17" s="40">
        <f>varredor!C45</f>
        <v>0.19440000000000002</v>
      </c>
      <c r="U17" s="39">
        <f>ROUND(U16*T17,2)</f>
        <v>1.49</v>
      </c>
    </row>
    <row r="18" spans="1:21" x14ac:dyDescent="0.2">
      <c r="A18" s="37" t="s">
        <v>137</v>
      </c>
      <c r="B18" s="38"/>
      <c r="C18" s="39">
        <f>SUM(C16:C17)</f>
        <v>9.14</v>
      </c>
      <c r="D18" s="38"/>
      <c r="E18" s="39">
        <f>SUM(E16:E17)</f>
        <v>11.600000000000001</v>
      </c>
      <c r="F18" s="38"/>
      <c r="G18" s="39">
        <f>SUM(G16:G17)</f>
        <v>13.200000000000001</v>
      </c>
      <c r="H18" s="38"/>
      <c r="I18" s="39">
        <f>SUM(I16:I17)</f>
        <v>13.200000000000001</v>
      </c>
      <c r="J18" s="38"/>
      <c r="K18" s="39">
        <f>SUM(K16:K17)</f>
        <v>9.51</v>
      </c>
      <c r="L18" s="38"/>
      <c r="M18" s="39">
        <f>SUM(M16:M17)</f>
        <v>9.14</v>
      </c>
      <c r="N18" s="38"/>
      <c r="O18" s="39">
        <f>SUM(O16:O17)</f>
        <v>9.2100000000000009</v>
      </c>
      <c r="P18" s="38"/>
      <c r="Q18" s="39">
        <f>SUM(Q16:Q17)</f>
        <v>10.95</v>
      </c>
      <c r="R18" s="38"/>
      <c r="S18" s="39">
        <f>SUM(S16:S17)</f>
        <v>12.77</v>
      </c>
      <c r="T18" s="38"/>
      <c r="U18" s="39">
        <f>SUM(U16:U17)</f>
        <v>9.14</v>
      </c>
    </row>
    <row r="19" spans="1:21" x14ac:dyDescent="0.2">
      <c r="A19" s="37" t="s">
        <v>138</v>
      </c>
      <c r="B19" s="40">
        <f>auxjard!C59</f>
        <v>0.36800000000000005</v>
      </c>
      <c r="C19" s="39">
        <f>ROUND(C18*B19,2)</f>
        <v>3.36</v>
      </c>
      <c r="D19" s="40">
        <f>cabotur!C59</f>
        <v>0.36800000000000005</v>
      </c>
      <c r="E19" s="39">
        <f>ROUND(E18*D19,2)</f>
        <v>4.2699999999999996</v>
      </c>
      <c r="F19" s="40">
        <f>coordadm!C59</f>
        <v>0.36800000000000005</v>
      </c>
      <c r="G19" s="39">
        <f>ROUND(G18*F19,2)</f>
        <v>4.8600000000000003</v>
      </c>
      <c r="H19" s="40">
        <f>coordope!C59</f>
        <v>0.36800000000000005</v>
      </c>
      <c r="I19" s="39">
        <f>ROUND(I18*H19,2)</f>
        <v>4.8600000000000003</v>
      </c>
      <c r="J19" s="40">
        <f>jardineiro!C59</f>
        <v>0.36800000000000005</v>
      </c>
      <c r="K19" s="39">
        <f>ROUND(K18*J19,2)</f>
        <v>3.5</v>
      </c>
      <c r="L19" s="40">
        <f>lavadorveic!C59</f>
        <v>0.36800000000000005</v>
      </c>
      <c r="M19" s="39">
        <f>ROUND(M18*L19,2)</f>
        <v>3.36</v>
      </c>
      <c r="N19" s="40">
        <f>limpavidro!C59</f>
        <v>0.36800000000000005</v>
      </c>
      <c r="O19" s="39">
        <f>ROUND(O18*N19,2)</f>
        <v>3.39</v>
      </c>
      <c r="P19" s="40">
        <f>servente20!C59</f>
        <v>0.36800000000000005</v>
      </c>
      <c r="Q19" s="39">
        <f>ROUND(Q18*P19,2)</f>
        <v>4.03</v>
      </c>
      <c r="R19" s="40">
        <f>servente40!C59</f>
        <v>0.36800000000000005</v>
      </c>
      <c r="S19" s="39">
        <f>ROUND(S18*R19,2)</f>
        <v>4.7</v>
      </c>
      <c r="T19" s="40">
        <f>varredor!C59</f>
        <v>0.36800000000000005</v>
      </c>
      <c r="U19" s="39">
        <f>ROUND(U18*T19,2)</f>
        <v>3.36</v>
      </c>
    </row>
    <row r="20" spans="1:21" x14ac:dyDescent="0.2">
      <c r="A20" s="37" t="s">
        <v>139</v>
      </c>
      <c r="B20" s="38"/>
      <c r="C20" s="39">
        <f>SUM(C18:C19)</f>
        <v>12.5</v>
      </c>
      <c r="D20" s="38"/>
      <c r="E20" s="39">
        <f>SUM(E18:E19)</f>
        <v>15.870000000000001</v>
      </c>
      <c r="F20" s="38"/>
      <c r="G20" s="39">
        <f>SUM(G18:G19)</f>
        <v>18.060000000000002</v>
      </c>
      <c r="H20" s="38"/>
      <c r="I20" s="39">
        <f>SUM(I18:I19)</f>
        <v>18.060000000000002</v>
      </c>
      <c r="J20" s="38"/>
      <c r="K20" s="39">
        <f>SUM(K18:K19)</f>
        <v>13.01</v>
      </c>
      <c r="L20" s="38"/>
      <c r="M20" s="39">
        <f>SUM(M18:M19)</f>
        <v>12.5</v>
      </c>
      <c r="N20" s="38"/>
      <c r="O20" s="39">
        <f>SUM(O18:O19)</f>
        <v>12.600000000000001</v>
      </c>
      <c r="P20" s="38"/>
      <c r="Q20" s="39">
        <f>SUM(Q18:Q19)</f>
        <v>14.98</v>
      </c>
      <c r="R20" s="38"/>
      <c r="S20" s="39">
        <f>SUM(S18:S19)</f>
        <v>17.47</v>
      </c>
      <c r="T20" s="38"/>
      <c r="U20" s="39">
        <f>SUM(U18:U19)</f>
        <v>12.5</v>
      </c>
    </row>
    <row r="21" spans="1:21" x14ac:dyDescent="0.2">
      <c r="A21" s="37" t="s">
        <v>140</v>
      </c>
      <c r="B21" s="40">
        <f>auxjard!C147</f>
        <v>0.21839080459770144</v>
      </c>
      <c r="C21" s="39">
        <f>ROUND(C20*B21,2)</f>
        <v>2.73</v>
      </c>
      <c r="D21" s="40">
        <f>cabotur!C147</f>
        <v>0.21839080459770144</v>
      </c>
      <c r="E21" s="39">
        <f>ROUND(E20*D21,2)</f>
        <v>3.47</v>
      </c>
      <c r="F21" s="40">
        <f>coordadm!C147</f>
        <v>0.21839080459770144</v>
      </c>
      <c r="G21" s="39">
        <f>ROUND(G20*F21,2)</f>
        <v>3.94</v>
      </c>
      <c r="H21" s="40">
        <f>coordope!C147</f>
        <v>0.21839080459770144</v>
      </c>
      <c r="I21" s="39">
        <f>ROUND(I20*H21,2)</f>
        <v>3.94</v>
      </c>
      <c r="J21" s="40">
        <f>jardineiro!C147</f>
        <v>0.21839080459770144</v>
      </c>
      <c r="K21" s="39">
        <f>ROUND(K20*J21,2)</f>
        <v>2.84</v>
      </c>
      <c r="L21" s="40">
        <f>lavadorveic!C147</f>
        <v>0.21839080459770144</v>
      </c>
      <c r="M21" s="39">
        <f>ROUND(M20*L21,2)</f>
        <v>2.73</v>
      </c>
      <c r="N21" s="40">
        <f>limpavidro!C147</f>
        <v>0.21839080459770144</v>
      </c>
      <c r="O21" s="39">
        <f>ROUND(O20*N21,2)</f>
        <v>2.75</v>
      </c>
      <c r="P21" s="40">
        <f>servente20!C147</f>
        <v>0.21839080459770144</v>
      </c>
      <c r="Q21" s="39">
        <f>ROUND(Q20*P21,2)</f>
        <v>3.27</v>
      </c>
      <c r="R21" s="40">
        <f>servente40!C147</f>
        <v>0.21839080459770144</v>
      </c>
      <c r="S21" s="39">
        <f>ROUND(S20*R21,2)</f>
        <v>3.82</v>
      </c>
      <c r="T21" s="40">
        <f>varredor!C147</f>
        <v>0.21839080459770144</v>
      </c>
      <c r="U21" s="39">
        <f>ROUND(U20*T21,2)</f>
        <v>2.73</v>
      </c>
    </row>
    <row r="22" spans="1:21" x14ac:dyDescent="0.2">
      <c r="A22" s="37" t="s">
        <v>141</v>
      </c>
      <c r="B22" s="38"/>
      <c r="C22" s="39">
        <f>SUM(C20:C21)</f>
        <v>15.23</v>
      </c>
      <c r="D22" s="38"/>
      <c r="E22" s="39">
        <f>SUM(E20:E21)</f>
        <v>19.34</v>
      </c>
      <c r="F22" s="38"/>
      <c r="G22" s="39">
        <f>SUM(G20:G21)</f>
        <v>22.000000000000004</v>
      </c>
      <c r="H22" s="38"/>
      <c r="I22" s="39">
        <f>SUM(I20:I21)</f>
        <v>22.000000000000004</v>
      </c>
      <c r="J22" s="38"/>
      <c r="K22" s="39">
        <f>SUM(K20:K21)</f>
        <v>15.85</v>
      </c>
      <c r="L22" s="38"/>
      <c r="M22" s="39">
        <f>SUM(M20:M21)</f>
        <v>15.23</v>
      </c>
      <c r="N22" s="38"/>
      <c r="O22" s="39">
        <f>SUM(O20:O21)</f>
        <v>15.350000000000001</v>
      </c>
      <c r="P22" s="38"/>
      <c r="Q22" s="39">
        <f>SUM(Q20:Q21)</f>
        <v>18.25</v>
      </c>
      <c r="R22" s="38"/>
      <c r="S22" s="39">
        <f>SUM(S20:S21)</f>
        <v>21.29</v>
      </c>
      <c r="T22" s="38"/>
      <c r="U22" s="39">
        <f>SUM(U20:U21)</f>
        <v>15.23</v>
      </c>
    </row>
    <row r="23" spans="1:21" x14ac:dyDescent="0.2">
      <c r="A23" s="37" t="s">
        <v>142</v>
      </c>
      <c r="B23" s="41">
        <v>0.5</v>
      </c>
      <c r="C23" s="39">
        <f>ROUND(C22*(1+B23),2)</f>
        <v>22.85</v>
      </c>
      <c r="D23" s="41">
        <v>0.5</v>
      </c>
      <c r="E23" s="39">
        <f>ROUND(E22*(1+D23),2)</f>
        <v>29.01</v>
      </c>
      <c r="F23" s="41">
        <v>0.5</v>
      </c>
      <c r="G23" s="39">
        <f>ROUND(G22*(1+F23),2)</f>
        <v>33</v>
      </c>
      <c r="H23" s="41">
        <v>0.5</v>
      </c>
      <c r="I23" s="39">
        <f>ROUND(I22*(1+H23),2)</f>
        <v>33</v>
      </c>
      <c r="J23" s="41">
        <v>0.5</v>
      </c>
      <c r="K23" s="39">
        <f>ROUND(K22*(1+J23),2)</f>
        <v>23.78</v>
      </c>
      <c r="L23" s="41">
        <v>0.5</v>
      </c>
      <c r="M23" s="39">
        <f>ROUND(M22*(1+L23),2)</f>
        <v>22.85</v>
      </c>
      <c r="N23" s="41">
        <v>0.5</v>
      </c>
      <c r="O23" s="39">
        <f>ROUND(O22*(1+N23),2)</f>
        <v>23.03</v>
      </c>
      <c r="P23" s="41">
        <v>0.5</v>
      </c>
      <c r="Q23" s="39">
        <f>ROUND(Q22*(1+P23),2)</f>
        <v>27.38</v>
      </c>
      <c r="R23" s="41">
        <v>0.5</v>
      </c>
      <c r="S23" s="39">
        <f>ROUND(S22*(1+R23),2)</f>
        <v>31.94</v>
      </c>
      <c r="T23" s="41">
        <v>0.5</v>
      </c>
      <c r="U23" s="39">
        <f>ROUND(U22*(1+T23),2)</f>
        <v>22.85</v>
      </c>
    </row>
    <row r="24" spans="1:21" x14ac:dyDescent="0.2">
      <c r="A24" s="37" t="s">
        <v>143</v>
      </c>
      <c r="B24" s="41">
        <v>1</v>
      </c>
      <c r="C24" s="39">
        <f>ROUND(C22*(1+B24),2)</f>
        <v>30.46</v>
      </c>
      <c r="D24" s="41">
        <v>1</v>
      </c>
      <c r="E24" s="39">
        <f>ROUND(E22*(1+D24),2)</f>
        <v>38.68</v>
      </c>
      <c r="F24" s="41">
        <v>1</v>
      </c>
      <c r="G24" s="39">
        <f>ROUND(G22*(1+F24),2)</f>
        <v>44</v>
      </c>
      <c r="H24" s="41">
        <v>1</v>
      </c>
      <c r="I24" s="39">
        <f>ROUND(I22*(1+H24),2)</f>
        <v>44</v>
      </c>
      <c r="J24" s="41">
        <v>1</v>
      </c>
      <c r="K24" s="39">
        <f>ROUND(K22*(1+J24),2)</f>
        <v>31.7</v>
      </c>
      <c r="L24" s="41">
        <v>1</v>
      </c>
      <c r="M24" s="39">
        <f>ROUND(M22*(1+L24),2)</f>
        <v>30.46</v>
      </c>
      <c r="N24" s="41">
        <v>1</v>
      </c>
      <c r="O24" s="39">
        <f>ROUND(O22*(1+N24),2)</f>
        <v>30.7</v>
      </c>
      <c r="P24" s="41">
        <v>1</v>
      </c>
      <c r="Q24" s="39">
        <f>ROUND(Q22*(1+P24),2)</f>
        <v>36.5</v>
      </c>
      <c r="R24" s="41">
        <v>1</v>
      </c>
      <c r="S24" s="39">
        <f>ROUND(S22*(1+R24),2)</f>
        <v>42.58</v>
      </c>
      <c r="T24" s="41">
        <v>1</v>
      </c>
      <c r="U24" s="39">
        <f>ROUND(U22*(1+T24),2)</f>
        <v>30.46</v>
      </c>
    </row>
    <row r="25" spans="1:21" x14ac:dyDescent="0.2">
      <c r="A25" s="34" t="s">
        <v>155</v>
      </c>
      <c r="B25" s="42"/>
      <c r="C25" s="17"/>
      <c r="D25" s="42"/>
      <c r="E25" s="17"/>
      <c r="F25" s="42"/>
      <c r="G25" s="17"/>
      <c r="H25" s="42"/>
      <c r="I25" s="17"/>
      <c r="J25" s="42"/>
      <c r="K25" s="17"/>
      <c r="L25" s="42"/>
      <c r="M25" s="17"/>
      <c r="N25" s="42"/>
      <c r="O25" s="17"/>
      <c r="P25" s="42"/>
      <c r="Q25" s="17"/>
      <c r="R25" s="42"/>
      <c r="S25" s="17"/>
      <c r="T25" s="42"/>
      <c r="U25" s="17"/>
    </row>
    <row r="26" spans="1:21" ht="24.75" customHeight="1" x14ac:dyDescent="0.2">
      <c r="A26" s="43" t="s">
        <v>133</v>
      </c>
      <c r="B26" s="117" t="str">
        <f>B14</f>
        <v>Auxiliar de Jardinagem</v>
      </c>
      <c r="C26" s="118"/>
      <c r="D26" s="117" t="str">
        <f t="shared" ref="D26" si="0">D14</f>
        <v>Cabo de Turma</v>
      </c>
      <c r="E26" s="118"/>
      <c r="F26" s="117" t="str">
        <f t="shared" ref="F26" si="1">F14</f>
        <v>Coordenador Administrativo</v>
      </c>
      <c r="G26" s="118"/>
      <c r="H26" s="117" t="str">
        <f t="shared" ref="H26" si="2">H14</f>
        <v>Coordenador Operacional</v>
      </c>
      <c r="I26" s="118"/>
      <c r="J26" s="117" t="str">
        <f t="shared" ref="J26" si="3">J14</f>
        <v xml:space="preserve">Jardineiro </v>
      </c>
      <c r="K26" s="118"/>
      <c r="L26" s="117" t="str">
        <f t="shared" ref="L26" si="4">L14</f>
        <v>Lavador de Veículo</v>
      </c>
      <c r="M26" s="118"/>
      <c r="N26" s="117" t="str">
        <f t="shared" ref="N26" si="5">N14</f>
        <v>Limpador de Vidros</v>
      </c>
      <c r="O26" s="118"/>
      <c r="P26" s="117" t="str">
        <f t="shared" ref="P26" si="6">P14</f>
        <v>Servente de Limpeza - insalubridade 20%</v>
      </c>
      <c r="Q26" s="118"/>
      <c r="R26" s="117" t="str">
        <f t="shared" ref="R26:T26" si="7">R14</f>
        <v>Servente de Limpeza - insalubridade 40%</v>
      </c>
      <c r="S26" s="118"/>
      <c r="T26" s="117" t="str">
        <f t="shared" si="7"/>
        <v>Varredor</v>
      </c>
      <c r="U26" s="118"/>
    </row>
    <row r="27" spans="1:21" x14ac:dyDescent="0.2">
      <c r="A27" s="38" t="s">
        <v>144</v>
      </c>
      <c r="B27" s="38">
        <v>80</v>
      </c>
      <c r="C27" s="39">
        <f>B27*C23</f>
        <v>1828</v>
      </c>
      <c r="D27" s="38">
        <v>80</v>
      </c>
      <c r="E27" s="39">
        <f>D27*E23</f>
        <v>2320.8000000000002</v>
      </c>
      <c r="F27" s="38">
        <v>80</v>
      </c>
      <c r="G27" s="39">
        <f>F27*G23</f>
        <v>2640</v>
      </c>
      <c r="H27" s="38">
        <v>80</v>
      </c>
      <c r="I27" s="39">
        <f>H27*I23</f>
        <v>2640</v>
      </c>
      <c r="J27" s="38">
        <v>80</v>
      </c>
      <c r="K27" s="39">
        <f>J27*K23</f>
        <v>1902.4</v>
      </c>
      <c r="L27" s="38">
        <v>80</v>
      </c>
      <c r="M27" s="39">
        <f>L27*M23</f>
        <v>1828</v>
      </c>
      <c r="N27" s="38">
        <v>80</v>
      </c>
      <c r="O27" s="39">
        <f>N27*O23</f>
        <v>1842.4</v>
      </c>
      <c r="P27" s="38">
        <v>80</v>
      </c>
      <c r="Q27" s="39">
        <f>P27*Q23</f>
        <v>2190.4</v>
      </c>
      <c r="R27" s="38">
        <v>80</v>
      </c>
      <c r="S27" s="39">
        <f>R27*S23</f>
        <v>2555.2000000000003</v>
      </c>
      <c r="T27" s="38">
        <v>80</v>
      </c>
      <c r="U27" s="39">
        <f>T27*U23</f>
        <v>1828</v>
      </c>
    </row>
    <row r="28" spans="1:21" x14ac:dyDescent="0.2">
      <c r="A28" s="38" t="s">
        <v>145</v>
      </c>
      <c r="B28" s="38">
        <v>160</v>
      </c>
      <c r="C28" s="39">
        <f>B28*C24</f>
        <v>4873.6000000000004</v>
      </c>
      <c r="D28" s="38">
        <v>160</v>
      </c>
      <c r="E28" s="39">
        <f>D28*E24</f>
        <v>6188.8</v>
      </c>
      <c r="F28" s="38">
        <v>160</v>
      </c>
      <c r="G28" s="39">
        <f>F28*G24</f>
        <v>7040</v>
      </c>
      <c r="H28" s="38">
        <v>160</v>
      </c>
      <c r="I28" s="39">
        <f>H28*I24</f>
        <v>7040</v>
      </c>
      <c r="J28" s="38">
        <v>160</v>
      </c>
      <c r="K28" s="39">
        <f>J28*K24</f>
        <v>5072</v>
      </c>
      <c r="L28" s="38">
        <v>160</v>
      </c>
      <c r="M28" s="39">
        <f>L28*M24</f>
        <v>4873.6000000000004</v>
      </c>
      <c r="N28" s="38">
        <v>160</v>
      </c>
      <c r="O28" s="39">
        <f>N28*O24</f>
        <v>4912</v>
      </c>
      <c r="P28" s="38">
        <v>160</v>
      </c>
      <c r="Q28" s="39">
        <f>P28*Q24</f>
        <v>5840</v>
      </c>
      <c r="R28" s="38">
        <v>160</v>
      </c>
      <c r="S28" s="39">
        <f>R28*S24</f>
        <v>6812.7999999999993</v>
      </c>
      <c r="T28" s="38">
        <v>160</v>
      </c>
      <c r="U28" s="39">
        <f>T28*U24</f>
        <v>4873.6000000000004</v>
      </c>
    </row>
    <row r="29" spans="1:21" x14ac:dyDescent="0.2">
      <c r="A29" s="38" t="s">
        <v>162</v>
      </c>
      <c r="B29" s="38"/>
      <c r="C29" s="39">
        <f>SUM(C27:C28)</f>
        <v>6701.6</v>
      </c>
      <c r="D29" s="38"/>
      <c r="E29" s="39">
        <f>SUM(E27:E28)</f>
        <v>8509.6</v>
      </c>
      <c r="F29" s="38"/>
      <c r="G29" s="39">
        <f>SUM(G27:G28)</f>
        <v>9680</v>
      </c>
      <c r="H29" s="38"/>
      <c r="I29" s="39">
        <f>SUM(I27:I28)</f>
        <v>9680</v>
      </c>
      <c r="J29" s="38"/>
      <c r="K29" s="39">
        <f>SUM(K27:K28)</f>
        <v>6974.4</v>
      </c>
      <c r="L29" s="38"/>
      <c r="M29" s="39">
        <f>SUM(M27:M28)</f>
        <v>6701.6</v>
      </c>
      <c r="N29" s="38"/>
      <c r="O29" s="39">
        <f>SUM(O27:O28)</f>
        <v>6754.4</v>
      </c>
      <c r="P29" s="38"/>
      <c r="Q29" s="39">
        <f>SUM(Q27:Q28)</f>
        <v>8030.4</v>
      </c>
      <c r="R29" s="38"/>
      <c r="S29" s="39">
        <f>SUM(S27:S28)</f>
        <v>9368</v>
      </c>
      <c r="T29" s="38"/>
      <c r="U29" s="39">
        <f>SUM(U27:U28)</f>
        <v>6701.6</v>
      </c>
    </row>
    <row r="30" spans="1:21" x14ac:dyDescent="0.2">
      <c r="A30" s="38" t="s">
        <v>146</v>
      </c>
      <c r="B30" s="38">
        <f>auxjard!D15</f>
        <v>1</v>
      </c>
      <c r="C30" s="39">
        <f>C29*B30</f>
        <v>6701.6</v>
      </c>
      <c r="D30" s="38">
        <f>cabotur!D15</f>
        <v>1</v>
      </c>
      <c r="E30" s="39">
        <f>E29*D30</f>
        <v>8509.6</v>
      </c>
      <c r="F30" s="38">
        <f>coordadm!D15</f>
        <v>1</v>
      </c>
      <c r="G30" s="39">
        <f>G29*F30</f>
        <v>9680</v>
      </c>
      <c r="H30" s="38">
        <f>coordope!D15</f>
        <v>1</v>
      </c>
      <c r="I30" s="39">
        <f>I29*H30</f>
        <v>9680</v>
      </c>
      <c r="J30" s="38">
        <f>jardineiro!D15</f>
        <v>1</v>
      </c>
      <c r="K30" s="39">
        <f>K29*J30</f>
        <v>6974.4</v>
      </c>
      <c r="L30" s="38">
        <f>lavadorveic!D15</f>
        <v>1</v>
      </c>
      <c r="M30" s="39">
        <f>M29*L30</f>
        <v>6701.6</v>
      </c>
      <c r="N30" s="38">
        <f>limpavidro!D15</f>
        <v>2</v>
      </c>
      <c r="O30" s="39">
        <f>O29*N30</f>
        <v>13508.8</v>
      </c>
      <c r="P30" s="38">
        <f>servente20!D15</f>
        <v>32</v>
      </c>
      <c r="Q30" s="51">
        <f>Q29*P30</f>
        <v>256972.79999999999</v>
      </c>
      <c r="R30" s="38">
        <f>servente40!D15</f>
        <v>2</v>
      </c>
      <c r="S30" s="39">
        <f>S29*R30</f>
        <v>18736</v>
      </c>
      <c r="T30" s="38">
        <f>varredor!D15</f>
        <v>1</v>
      </c>
      <c r="U30" s="39">
        <f>U29*T30</f>
        <v>6701.6</v>
      </c>
    </row>
    <row r="31" spans="1:21" x14ac:dyDescent="0.2">
      <c r="A31" s="34" t="s">
        <v>147</v>
      </c>
      <c r="B31" s="38"/>
      <c r="C31" s="44"/>
      <c r="D31" s="38"/>
      <c r="E31" s="44"/>
      <c r="F31" s="38"/>
      <c r="G31" s="44"/>
      <c r="H31" s="38"/>
      <c r="I31" s="44"/>
      <c r="J31" s="38"/>
      <c r="K31" s="44"/>
      <c r="L31" s="38"/>
      <c r="M31" s="44"/>
      <c r="N31" s="38"/>
      <c r="O31" s="44"/>
      <c r="P31" s="38"/>
      <c r="Q31" s="44"/>
      <c r="R31" s="38"/>
      <c r="S31" s="44"/>
      <c r="T31" s="38"/>
      <c r="U31" s="44"/>
    </row>
    <row r="32" spans="1:21" x14ac:dyDescent="0.2">
      <c r="A32" s="38" t="s">
        <v>148</v>
      </c>
      <c r="B32" s="38"/>
      <c r="C32" s="39">
        <v>5.6</v>
      </c>
      <c r="D32" s="38"/>
      <c r="E32" s="39">
        <v>5.6</v>
      </c>
      <c r="F32" s="38"/>
      <c r="G32" s="39">
        <v>5.6</v>
      </c>
      <c r="H32" s="38"/>
      <c r="I32" s="39">
        <v>5.6</v>
      </c>
      <c r="J32" s="38"/>
      <c r="K32" s="39">
        <v>5.6</v>
      </c>
      <c r="L32" s="38"/>
      <c r="M32" s="39">
        <v>5.6</v>
      </c>
      <c r="N32" s="38"/>
      <c r="O32" s="39">
        <v>5.6</v>
      </c>
      <c r="P32" s="38"/>
      <c r="Q32" s="39">
        <v>5.6</v>
      </c>
      <c r="R32" s="38"/>
      <c r="S32" s="39">
        <v>5.6</v>
      </c>
      <c r="T32" s="38"/>
      <c r="U32" s="39">
        <v>5.6</v>
      </c>
    </row>
    <row r="33" spans="1:21" x14ac:dyDescent="0.2">
      <c r="A33" s="38" t="s">
        <v>149</v>
      </c>
      <c r="B33" s="38">
        <v>2</v>
      </c>
      <c r="C33" s="39">
        <f>C32*B33</f>
        <v>11.2</v>
      </c>
      <c r="D33" s="38">
        <v>2</v>
      </c>
      <c r="E33" s="39">
        <f t="shared" ref="E33" si="8">E32*D33</f>
        <v>11.2</v>
      </c>
      <c r="F33" s="38">
        <v>2</v>
      </c>
      <c r="G33" s="39">
        <f t="shared" ref="G33" si="9">G32*F33</f>
        <v>11.2</v>
      </c>
      <c r="H33" s="38">
        <v>2</v>
      </c>
      <c r="I33" s="39">
        <f t="shared" ref="I33" si="10">I32*H33</f>
        <v>11.2</v>
      </c>
      <c r="J33" s="38">
        <v>2</v>
      </c>
      <c r="K33" s="39">
        <f t="shared" ref="K33" si="11">K32*J33</f>
        <v>11.2</v>
      </c>
      <c r="L33" s="38">
        <v>2</v>
      </c>
      <c r="M33" s="39">
        <f t="shared" ref="M33" si="12">M32*L33</f>
        <v>11.2</v>
      </c>
      <c r="N33" s="38">
        <v>2</v>
      </c>
      <c r="O33" s="39">
        <f t="shared" ref="O33" si="13">O32*N33</f>
        <v>11.2</v>
      </c>
      <c r="P33" s="38">
        <v>2</v>
      </c>
      <c r="Q33" s="39">
        <f t="shared" ref="Q33" si="14">Q32*P33</f>
        <v>11.2</v>
      </c>
      <c r="R33" s="38">
        <v>2</v>
      </c>
      <c r="S33" s="39">
        <f t="shared" ref="S33" si="15">S32*R33</f>
        <v>11.2</v>
      </c>
      <c r="T33" s="38">
        <v>2</v>
      </c>
      <c r="U33" s="39">
        <f t="shared" ref="U33" si="16">U32*T33</f>
        <v>11.2</v>
      </c>
    </row>
    <row r="34" spans="1:21" x14ac:dyDescent="0.2">
      <c r="A34" s="38" t="s">
        <v>140</v>
      </c>
      <c r="B34" s="40">
        <f>B21</f>
        <v>0.21839080459770144</v>
      </c>
      <c r="C34" s="39">
        <f>ROUND(C33*B34,2)</f>
        <v>2.4500000000000002</v>
      </c>
      <c r="D34" s="40">
        <f>D21</f>
        <v>0.21839080459770144</v>
      </c>
      <c r="E34" s="39">
        <f t="shared" ref="E34" si="17">ROUND(E33*D34,2)</f>
        <v>2.4500000000000002</v>
      </c>
      <c r="F34" s="40">
        <f>F21</f>
        <v>0.21839080459770144</v>
      </c>
      <c r="G34" s="39">
        <f t="shared" ref="G34" si="18">ROUND(G33*F34,2)</f>
        <v>2.4500000000000002</v>
      </c>
      <c r="H34" s="40">
        <f>H21</f>
        <v>0.21839080459770144</v>
      </c>
      <c r="I34" s="39">
        <f t="shared" ref="I34" si="19">ROUND(I33*H34,2)</f>
        <v>2.4500000000000002</v>
      </c>
      <c r="J34" s="40">
        <f>J21</f>
        <v>0.21839080459770144</v>
      </c>
      <c r="K34" s="39">
        <f t="shared" ref="K34" si="20">ROUND(K33*J34,2)</f>
        <v>2.4500000000000002</v>
      </c>
      <c r="L34" s="40">
        <f>L21</f>
        <v>0.21839080459770144</v>
      </c>
      <c r="M34" s="39">
        <f t="shared" ref="M34" si="21">ROUND(M33*L34,2)</f>
        <v>2.4500000000000002</v>
      </c>
      <c r="N34" s="40">
        <f>N21</f>
        <v>0.21839080459770144</v>
      </c>
      <c r="O34" s="39">
        <f t="shared" ref="O34" si="22">ROUND(O33*N34,2)</f>
        <v>2.4500000000000002</v>
      </c>
      <c r="P34" s="40">
        <f>P21</f>
        <v>0.21839080459770144</v>
      </c>
      <c r="Q34" s="39">
        <f t="shared" ref="Q34" si="23">ROUND(Q33*P34,2)</f>
        <v>2.4500000000000002</v>
      </c>
      <c r="R34" s="40">
        <f>R21</f>
        <v>0.21839080459770144</v>
      </c>
      <c r="S34" s="39">
        <f t="shared" ref="S34" si="24">ROUND(S33*R34,2)</f>
        <v>2.4500000000000002</v>
      </c>
      <c r="T34" s="40">
        <f>T21</f>
        <v>0.21839080459770144</v>
      </c>
      <c r="U34" s="39">
        <f t="shared" ref="U34" si="25">ROUND(U33*T34,2)</f>
        <v>2.4500000000000002</v>
      </c>
    </row>
    <row r="35" spans="1:21" x14ac:dyDescent="0.2">
      <c r="A35" s="38" t="s">
        <v>150</v>
      </c>
      <c r="B35" s="38"/>
      <c r="C35" s="39">
        <f>SUM(C33:C34)</f>
        <v>13.649999999999999</v>
      </c>
      <c r="D35" s="38"/>
      <c r="E35" s="39">
        <f t="shared" ref="E35" si="26">SUM(E33:E34)</f>
        <v>13.649999999999999</v>
      </c>
      <c r="F35" s="38"/>
      <c r="G35" s="39">
        <f t="shared" ref="G35" si="27">SUM(G33:G34)</f>
        <v>13.649999999999999</v>
      </c>
      <c r="H35" s="38"/>
      <c r="I35" s="39">
        <f t="shared" ref="I35" si="28">SUM(I33:I34)</f>
        <v>13.649999999999999</v>
      </c>
      <c r="J35" s="38"/>
      <c r="K35" s="39">
        <f t="shared" ref="K35" si="29">SUM(K33:K34)</f>
        <v>13.649999999999999</v>
      </c>
      <c r="L35" s="38"/>
      <c r="M35" s="39">
        <f t="shared" ref="M35" si="30">SUM(M33:M34)</f>
        <v>13.649999999999999</v>
      </c>
      <c r="N35" s="38"/>
      <c r="O35" s="39">
        <f t="shared" ref="O35" si="31">SUM(O33:O34)</f>
        <v>13.649999999999999</v>
      </c>
      <c r="P35" s="38"/>
      <c r="Q35" s="39">
        <f t="shared" ref="Q35" si="32">SUM(Q33:Q34)</f>
        <v>13.649999999999999</v>
      </c>
      <c r="R35" s="38"/>
      <c r="S35" s="39">
        <f t="shared" ref="S35:U35" si="33">SUM(S33:S34)</f>
        <v>13.649999999999999</v>
      </c>
      <c r="T35" s="38"/>
      <c r="U35" s="39">
        <f t="shared" si="33"/>
        <v>13.649999999999999</v>
      </c>
    </row>
    <row r="36" spans="1:21" x14ac:dyDescent="0.2">
      <c r="A36" s="38" t="s">
        <v>144</v>
      </c>
      <c r="B36" s="38">
        <v>20</v>
      </c>
      <c r="C36" s="39">
        <f>C35*B36</f>
        <v>273</v>
      </c>
      <c r="D36" s="38">
        <v>20</v>
      </c>
      <c r="E36" s="39">
        <f t="shared" ref="E36" si="34">E35*D36</f>
        <v>273</v>
      </c>
      <c r="F36" s="38">
        <v>20</v>
      </c>
      <c r="G36" s="39">
        <f t="shared" ref="G36" si="35">G35*F36</f>
        <v>273</v>
      </c>
      <c r="H36" s="38">
        <v>20</v>
      </c>
      <c r="I36" s="39">
        <f t="shared" ref="I36" si="36">I35*H36</f>
        <v>273</v>
      </c>
      <c r="J36" s="38">
        <v>20</v>
      </c>
      <c r="K36" s="39">
        <f t="shared" ref="K36" si="37">K35*J36</f>
        <v>273</v>
      </c>
      <c r="L36" s="38">
        <v>20</v>
      </c>
      <c r="M36" s="39">
        <f t="shared" ref="M36" si="38">M35*L36</f>
        <v>273</v>
      </c>
      <c r="N36" s="38">
        <v>20</v>
      </c>
      <c r="O36" s="39">
        <f t="shared" ref="O36" si="39">O35*N36</f>
        <v>273</v>
      </c>
      <c r="P36" s="38">
        <v>20</v>
      </c>
      <c r="Q36" s="39">
        <f t="shared" ref="Q36" si="40">Q35*P36</f>
        <v>273</v>
      </c>
      <c r="R36" s="38">
        <v>20</v>
      </c>
      <c r="S36" s="39">
        <f t="shared" ref="S36" si="41">S35*R36</f>
        <v>273</v>
      </c>
      <c r="T36" s="38">
        <v>20</v>
      </c>
      <c r="U36" s="39">
        <f t="shared" ref="U36" si="42">U35*T36</f>
        <v>273</v>
      </c>
    </row>
    <row r="37" spans="1:21" x14ac:dyDescent="0.2">
      <c r="A37" s="38" t="s">
        <v>145</v>
      </c>
      <c r="B37" s="38">
        <v>20</v>
      </c>
      <c r="C37" s="39">
        <f>C35*B37</f>
        <v>273</v>
      </c>
      <c r="D37" s="38">
        <v>20</v>
      </c>
      <c r="E37" s="39">
        <f t="shared" ref="E37" si="43">E35*D37</f>
        <v>273</v>
      </c>
      <c r="F37" s="38">
        <v>20</v>
      </c>
      <c r="G37" s="39">
        <f t="shared" ref="G37" si="44">G35*F37</f>
        <v>273</v>
      </c>
      <c r="H37" s="38">
        <v>20</v>
      </c>
      <c r="I37" s="39">
        <f t="shared" ref="I37" si="45">I35*H37</f>
        <v>273</v>
      </c>
      <c r="J37" s="38">
        <v>20</v>
      </c>
      <c r="K37" s="39">
        <f t="shared" ref="K37" si="46">K35*J37</f>
        <v>273</v>
      </c>
      <c r="L37" s="38">
        <v>20</v>
      </c>
      <c r="M37" s="39">
        <f t="shared" ref="M37" si="47">M35*L37</f>
        <v>273</v>
      </c>
      <c r="N37" s="38">
        <v>20</v>
      </c>
      <c r="O37" s="39">
        <f t="shared" ref="O37" si="48">O35*N37</f>
        <v>273</v>
      </c>
      <c r="P37" s="38">
        <v>20</v>
      </c>
      <c r="Q37" s="39">
        <f t="shared" ref="Q37" si="49">Q35*P37</f>
        <v>273</v>
      </c>
      <c r="R37" s="38">
        <v>20</v>
      </c>
      <c r="S37" s="39">
        <f t="shared" ref="S37" si="50">S35*R37</f>
        <v>273</v>
      </c>
      <c r="T37" s="38">
        <v>20</v>
      </c>
      <c r="U37" s="39">
        <f t="shared" ref="U37" si="51">U35*T37</f>
        <v>273</v>
      </c>
    </row>
    <row r="38" spans="1:21" x14ac:dyDescent="0.2">
      <c r="A38" s="38" t="s">
        <v>163</v>
      </c>
      <c r="B38" s="38"/>
      <c r="C38" s="39">
        <f>SUM(C36:C37)</f>
        <v>546</v>
      </c>
      <c r="D38" s="38"/>
      <c r="E38" s="39">
        <f t="shared" ref="E38" si="52">SUM(E36:E37)</f>
        <v>546</v>
      </c>
      <c r="F38" s="38"/>
      <c r="G38" s="39">
        <f t="shared" ref="G38" si="53">SUM(G36:G37)</f>
        <v>546</v>
      </c>
      <c r="H38" s="38"/>
      <c r="I38" s="39">
        <f t="shared" ref="I38" si="54">SUM(I36:I37)</f>
        <v>546</v>
      </c>
      <c r="J38" s="38"/>
      <c r="K38" s="39">
        <f t="shared" ref="K38" si="55">SUM(K36:K37)</f>
        <v>546</v>
      </c>
      <c r="L38" s="38"/>
      <c r="M38" s="39">
        <f t="shared" ref="M38" si="56">SUM(M36:M37)</f>
        <v>546</v>
      </c>
      <c r="N38" s="38"/>
      <c r="O38" s="39">
        <f t="shared" ref="O38" si="57">SUM(O36:O37)</f>
        <v>546</v>
      </c>
      <c r="P38" s="38"/>
      <c r="Q38" s="39">
        <f t="shared" ref="Q38" si="58">SUM(Q36:Q37)</f>
        <v>546</v>
      </c>
      <c r="R38" s="38"/>
      <c r="S38" s="39">
        <f t="shared" ref="S38:U38" si="59">SUM(S36:S37)</f>
        <v>546</v>
      </c>
      <c r="T38" s="38"/>
      <c r="U38" s="39">
        <f t="shared" si="59"/>
        <v>546</v>
      </c>
    </row>
    <row r="39" spans="1:21" x14ac:dyDescent="0.2">
      <c r="A39" s="38" t="s">
        <v>151</v>
      </c>
      <c r="B39" s="38">
        <f>B30</f>
        <v>1</v>
      </c>
      <c r="C39" s="39">
        <f>C38*B39</f>
        <v>546</v>
      </c>
      <c r="D39" s="38">
        <f>D30</f>
        <v>1</v>
      </c>
      <c r="E39" s="39">
        <f>E38*D39</f>
        <v>546</v>
      </c>
      <c r="F39" s="38">
        <f>F30</f>
        <v>1</v>
      </c>
      <c r="G39" s="39">
        <f>G38*F39</f>
        <v>546</v>
      </c>
      <c r="H39" s="38">
        <f>H30</f>
        <v>1</v>
      </c>
      <c r="I39" s="39">
        <f>I38*H39</f>
        <v>546</v>
      </c>
      <c r="J39" s="38">
        <f>J30</f>
        <v>1</v>
      </c>
      <c r="K39" s="39">
        <f>K38*J39</f>
        <v>546</v>
      </c>
      <c r="L39" s="38">
        <f>L30</f>
        <v>1</v>
      </c>
      <c r="M39" s="39">
        <f>M38*L39</f>
        <v>546</v>
      </c>
      <c r="N39" s="38">
        <f>N30</f>
        <v>2</v>
      </c>
      <c r="O39" s="39">
        <f>O38*N39</f>
        <v>1092</v>
      </c>
      <c r="P39" s="38">
        <f>P30</f>
        <v>32</v>
      </c>
      <c r="Q39" s="39">
        <f>Q38*P39</f>
        <v>17472</v>
      </c>
      <c r="R39" s="38">
        <f>R30</f>
        <v>2</v>
      </c>
      <c r="S39" s="39">
        <f>S38*R39</f>
        <v>1092</v>
      </c>
      <c r="T39" s="38">
        <f>T30</f>
        <v>1</v>
      </c>
      <c r="U39" s="39">
        <f>U38*T39</f>
        <v>546</v>
      </c>
    </row>
    <row r="40" spans="1:21" x14ac:dyDescent="0.2">
      <c r="A40" s="34" t="s">
        <v>152</v>
      </c>
      <c r="B40" s="38"/>
      <c r="C40" s="44"/>
      <c r="D40" s="38"/>
      <c r="E40" s="44"/>
      <c r="F40" s="38"/>
      <c r="G40" s="44"/>
      <c r="H40" s="38"/>
      <c r="I40" s="44"/>
      <c r="J40" s="38"/>
      <c r="K40" s="44"/>
      <c r="L40" s="38"/>
      <c r="M40" s="44"/>
      <c r="N40" s="38"/>
      <c r="O40" s="44"/>
      <c r="P40" s="38"/>
      <c r="Q40" s="44"/>
      <c r="R40" s="38"/>
      <c r="S40" s="44"/>
      <c r="T40" s="38"/>
      <c r="U40" s="44"/>
    </row>
    <row r="41" spans="1:21" x14ac:dyDescent="0.2">
      <c r="A41" s="38" t="s">
        <v>148</v>
      </c>
      <c r="B41" s="38"/>
      <c r="C41" s="39">
        <f>20*0.8</f>
        <v>16</v>
      </c>
      <c r="D41" s="38"/>
      <c r="E41" s="39">
        <f t="shared" ref="E41" si="60">20*0.8</f>
        <v>16</v>
      </c>
      <c r="F41" s="38"/>
      <c r="G41" s="39">
        <f t="shared" ref="G41" si="61">20*0.8</f>
        <v>16</v>
      </c>
      <c r="H41" s="38"/>
      <c r="I41" s="39">
        <f t="shared" ref="I41" si="62">20*0.8</f>
        <v>16</v>
      </c>
      <c r="J41" s="38"/>
      <c r="K41" s="39">
        <f t="shared" ref="K41" si="63">20*0.8</f>
        <v>16</v>
      </c>
      <c r="L41" s="38"/>
      <c r="M41" s="39">
        <f t="shared" ref="M41" si="64">20*0.8</f>
        <v>16</v>
      </c>
      <c r="N41" s="38"/>
      <c r="O41" s="39">
        <f t="shared" ref="O41" si="65">20*0.8</f>
        <v>16</v>
      </c>
      <c r="P41" s="38"/>
      <c r="Q41" s="39">
        <f t="shared" ref="Q41" si="66">20*0.8</f>
        <v>16</v>
      </c>
      <c r="R41" s="38"/>
      <c r="S41" s="39">
        <f t="shared" ref="S41:U41" si="67">20*0.8</f>
        <v>16</v>
      </c>
      <c r="T41" s="38"/>
      <c r="U41" s="39">
        <f t="shared" si="67"/>
        <v>16</v>
      </c>
    </row>
    <row r="42" spans="1:21" x14ac:dyDescent="0.2">
      <c r="A42" s="38" t="s">
        <v>140</v>
      </c>
      <c r="B42" s="40">
        <f>B21</f>
        <v>0.21839080459770144</v>
      </c>
      <c r="C42" s="39">
        <f>ROUND(C41*B42,2)</f>
        <v>3.49</v>
      </c>
      <c r="D42" s="40">
        <f>D21</f>
        <v>0.21839080459770144</v>
      </c>
      <c r="E42" s="39">
        <f t="shared" ref="E42" si="68">ROUND(E41*D42,2)</f>
        <v>3.49</v>
      </c>
      <c r="F42" s="40">
        <f>F21</f>
        <v>0.21839080459770144</v>
      </c>
      <c r="G42" s="39">
        <f t="shared" ref="G42" si="69">ROUND(G41*F42,2)</f>
        <v>3.49</v>
      </c>
      <c r="H42" s="40">
        <f>H21</f>
        <v>0.21839080459770144</v>
      </c>
      <c r="I42" s="39">
        <f t="shared" ref="I42" si="70">ROUND(I41*H42,2)</f>
        <v>3.49</v>
      </c>
      <c r="J42" s="40">
        <f>J21</f>
        <v>0.21839080459770144</v>
      </c>
      <c r="K42" s="39">
        <f t="shared" ref="K42" si="71">ROUND(K41*J42,2)</f>
        <v>3.49</v>
      </c>
      <c r="L42" s="40">
        <f>L21</f>
        <v>0.21839080459770144</v>
      </c>
      <c r="M42" s="39">
        <f t="shared" ref="M42" si="72">ROUND(M41*L42,2)</f>
        <v>3.49</v>
      </c>
      <c r="N42" s="40">
        <f>N21</f>
        <v>0.21839080459770144</v>
      </c>
      <c r="O42" s="39">
        <f t="shared" ref="O42" si="73">ROUND(O41*N42,2)</f>
        <v>3.49</v>
      </c>
      <c r="P42" s="40">
        <f>P21</f>
        <v>0.21839080459770144</v>
      </c>
      <c r="Q42" s="39">
        <f t="shared" ref="Q42" si="74">ROUND(Q41*P42,2)</f>
        <v>3.49</v>
      </c>
      <c r="R42" s="40">
        <f>R21</f>
        <v>0.21839080459770144</v>
      </c>
      <c r="S42" s="39">
        <f t="shared" ref="S42" si="75">ROUND(S41*R42,2)</f>
        <v>3.49</v>
      </c>
      <c r="T42" s="40">
        <f>T21</f>
        <v>0.21839080459770144</v>
      </c>
      <c r="U42" s="39">
        <f t="shared" ref="U42" si="76">ROUND(U41*T42,2)</f>
        <v>3.49</v>
      </c>
    </row>
    <row r="43" spans="1:21" x14ac:dyDescent="0.2">
      <c r="A43" s="38" t="s">
        <v>153</v>
      </c>
      <c r="B43" s="38"/>
      <c r="C43" s="39">
        <f>SUM(C41:C42)</f>
        <v>19.490000000000002</v>
      </c>
      <c r="D43" s="38"/>
      <c r="E43" s="39">
        <f t="shared" ref="E43" si="77">SUM(E41:E42)</f>
        <v>19.490000000000002</v>
      </c>
      <c r="F43" s="38"/>
      <c r="G43" s="39">
        <f t="shared" ref="G43" si="78">SUM(G41:G42)</f>
        <v>19.490000000000002</v>
      </c>
      <c r="H43" s="38"/>
      <c r="I43" s="39">
        <f t="shared" ref="I43" si="79">SUM(I41:I42)</f>
        <v>19.490000000000002</v>
      </c>
      <c r="J43" s="38"/>
      <c r="K43" s="39">
        <f t="shared" ref="K43" si="80">SUM(K41:K42)</f>
        <v>19.490000000000002</v>
      </c>
      <c r="L43" s="38"/>
      <c r="M43" s="39">
        <f t="shared" ref="M43" si="81">SUM(M41:M42)</f>
        <v>19.490000000000002</v>
      </c>
      <c r="N43" s="38"/>
      <c r="O43" s="39">
        <f t="shared" ref="O43" si="82">SUM(O41:O42)</f>
        <v>19.490000000000002</v>
      </c>
      <c r="P43" s="38"/>
      <c r="Q43" s="39">
        <f t="shared" ref="Q43" si="83">SUM(Q41:Q42)</f>
        <v>19.490000000000002</v>
      </c>
      <c r="R43" s="38"/>
      <c r="S43" s="39">
        <f t="shared" ref="S43:U43" si="84">SUM(S41:S42)</f>
        <v>19.490000000000002</v>
      </c>
      <c r="T43" s="38"/>
      <c r="U43" s="39">
        <f t="shared" si="84"/>
        <v>19.490000000000002</v>
      </c>
    </row>
    <row r="44" spans="1:21" x14ac:dyDescent="0.2">
      <c r="A44" s="38" t="s">
        <v>144</v>
      </c>
      <c r="B44" s="38">
        <v>20</v>
      </c>
      <c r="C44" s="39">
        <f>C43*B44</f>
        <v>389.80000000000007</v>
      </c>
      <c r="D44" s="38">
        <v>20</v>
      </c>
      <c r="E44" s="39">
        <f t="shared" ref="E44" si="85">E43*D44</f>
        <v>389.80000000000007</v>
      </c>
      <c r="F44" s="38">
        <v>20</v>
      </c>
      <c r="G44" s="39">
        <f t="shared" ref="G44" si="86">G43*F44</f>
        <v>389.80000000000007</v>
      </c>
      <c r="H44" s="38">
        <v>20</v>
      </c>
      <c r="I44" s="39">
        <f t="shared" ref="I44" si="87">I43*H44</f>
        <v>389.80000000000007</v>
      </c>
      <c r="J44" s="38">
        <v>20</v>
      </c>
      <c r="K44" s="39">
        <f t="shared" ref="K44" si="88">K43*J44</f>
        <v>389.80000000000007</v>
      </c>
      <c r="L44" s="38">
        <v>20</v>
      </c>
      <c r="M44" s="39">
        <f t="shared" ref="M44" si="89">M43*L44</f>
        <v>389.80000000000007</v>
      </c>
      <c r="N44" s="38">
        <v>20</v>
      </c>
      <c r="O44" s="39">
        <f t="shared" ref="O44" si="90">O43*N44</f>
        <v>389.80000000000007</v>
      </c>
      <c r="P44" s="38">
        <v>20</v>
      </c>
      <c r="Q44" s="39">
        <f t="shared" ref="Q44" si="91">Q43*P44</f>
        <v>389.80000000000007</v>
      </c>
      <c r="R44" s="38">
        <v>20</v>
      </c>
      <c r="S44" s="39">
        <f t="shared" ref="S44" si="92">S43*R44</f>
        <v>389.80000000000007</v>
      </c>
      <c r="T44" s="38">
        <v>20</v>
      </c>
      <c r="U44" s="39">
        <f t="shared" ref="U44" si="93">U43*T44</f>
        <v>389.80000000000007</v>
      </c>
    </row>
    <row r="45" spans="1:21" x14ac:dyDescent="0.2">
      <c r="A45" s="38" t="s">
        <v>145</v>
      </c>
      <c r="B45" s="38">
        <v>20</v>
      </c>
      <c r="C45" s="39">
        <f>C43*B45</f>
        <v>389.80000000000007</v>
      </c>
      <c r="D45" s="38">
        <v>20</v>
      </c>
      <c r="E45" s="39">
        <f t="shared" ref="E45" si="94">E43*D45</f>
        <v>389.80000000000007</v>
      </c>
      <c r="F45" s="38">
        <v>20</v>
      </c>
      <c r="G45" s="39">
        <f t="shared" ref="G45" si="95">G43*F45</f>
        <v>389.80000000000007</v>
      </c>
      <c r="H45" s="38">
        <v>20</v>
      </c>
      <c r="I45" s="39">
        <f t="shared" ref="I45" si="96">I43*H45</f>
        <v>389.80000000000007</v>
      </c>
      <c r="J45" s="38">
        <v>20</v>
      </c>
      <c r="K45" s="39">
        <f t="shared" ref="K45" si="97">K43*J45</f>
        <v>389.80000000000007</v>
      </c>
      <c r="L45" s="38">
        <v>20</v>
      </c>
      <c r="M45" s="39">
        <f t="shared" ref="M45" si="98">M43*L45</f>
        <v>389.80000000000007</v>
      </c>
      <c r="N45" s="38">
        <v>20</v>
      </c>
      <c r="O45" s="39">
        <f t="shared" ref="O45" si="99">O43*N45</f>
        <v>389.80000000000007</v>
      </c>
      <c r="P45" s="38">
        <v>20</v>
      </c>
      <c r="Q45" s="39">
        <f t="shared" ref="Q45" si="100">Q43*P45</f>
        <v>389.80000000000007</v>
      </c>
      <c r="R45" s="38">
        <v>20</v>
      </c>
      <c r="S45" s="39">
        <f t="shared" ref="S45" si="101">S43*R45</f>
        <v>389.80000000000007</v>
      </c>
      <c r="T45" s="38">
        <v>20</v>
      </c>
      <c r="U45" s="39">
        <f t="shared" ref="U45" si="102">U43*T45</f>
        <v>389.80000000000007</v>
      </c>
    </row>
    <row r="46" spans="1:21" x14ac:dyDescent="0.2">
      <c r="A46" s="38" t="s">
        <v>164</v>
      </c>
      <c r="B46" s="38"/>
      <c r="C46" s="39">
        <f>SUM(C44:C45)</f>
        <v>779.60000000000014</v>
      </c>
      <c r="D46" s="38"/>
      <c r="E46" s="39">
        <f t="shared" ref="E46" si="103">SUM(E44:E45)</f>
        <v>779.60000000000014</v>
      </c>
      <c r="F46" s="38"/>
      <c r="G46" s="39">
        <f t="shared" ref="G46" si="104">SUM(G44:G45)</f>
        <v>779.60000000000014</v>
      </c>
      <c r="H46" s="38"/>
      <c r="I46" s="39">
        <f t="shared" ref="I46" si="105">SUM(I44:I45)</f>
        <v>779.60000000000014</v>
      </c>
      <c r="J46" s="38"/>
      <c r="K46" s="39">
        <f t="shared" ref="K46" si="106">SUM(K44:K45)</f>
        <v>779.60000000000014</v>
      </c>
      <c r="L46" s="38"/>
      <c r="M46" s="39">
        <f t="shared" ref="M46" si="107">SUM(M44:M45)</f>
        <v>779.60000000000014</v>
      </c>
      <c r="N46" s="38"/>
      <c r="O46" s="39">
        <f t="shared" ref="O46" si="108">SUM(O44:O45)</f>
        <v>779.60000000000014</v>
      </c>
      <c r="P46" s="38"/>
      <c r="Q46" s="39">
        <f t="shared" ref="Q46" si="109">SUM(Q44:Q45)</f>
        <v>779.60000000000014</v>
      </c>
      <c r="R46" s="38"/>
      <c r="S46" s="39">
        <f t="shared" ref="S46:U46" si="110">SUM(S44:S45)</f>
        <v>779.60000000000014</v>
      </c>
      <c r="T46" s="38"/>
      <c r="U46" s="39">
        <f t="shared" si="110"/>
        <v>779.60000000000014</v>
      </c>
    </row>
    <row r="47" spans="1:21" x14ac:dyDescent="0.2">
      <c r="A47" s="38" t="s">
        <v>154</v>
      </c>
      <c r="B47" s="50">
        <f>B30</f>
        <v>1</v>
      </c>
      <c r="C47" s="39">
        <f>C46*B47</f>
        <v>779.60000000000014</v>
      </c>
      <c r="D47" s="50">
        <f>D30</f>
        <v>1</v>
      </c>
      <c r="E47" s="39">
        <f>E46*D47</f>
        <v>779.60000000000014</v>
      </c>
      <c r="F47" s="50">
        <f>F30</f>
        <v>1</v>
      </c>
      <c r="G47" s="39">
        <f>G46*F47</f>
        <v>779.60000000000014</v>
      </c>
      <c r="H47" s="50">
        <f>H30</f>
        <v>1</v>
      </c>
      <c r="I47" s="39">
        <f>I46*H47</f>
        <v>779.60000000000014</v>
      </c>
      <c r="J47" s="50">
        <f>J30</f>
        <v>1</v>
      </c>
      <c r="K47" s="39">
        <f>K46*J47</f>
        <v>779.60000000000014</v>
      </c>
      <c r="L47" s="50">
        <f>L30</f>
        <v>1</v>
      </c>
      <c r="M47" s="39">
        <f>M46*L47</f>
        <v>779.60000000000014</v>
      </c>
      <c r="N47" s="50">
        <f>N30</f>
        <v>2</v>
      </c>
      <c r="O47" s="39">
        <f>O46*N47</f>
        <v>1559.2000000000003</v>
      </c>
      <c r="P47" s="50">
        <f>P30</f>
        <v>32</v>
      </c>
      <c r="Q47" s="39">
        <f>Q46*P47</f>
        <v>24947.200000000004</v>
      </c>
      <c r="R47" s="50">
        <f>R30</f>
        <v>2</v>
      </c>
      <c r="S47" s="39">
        <f>S46*R47</f>
        <v>1559.2000000000003</v>
      </c>
      <c r="T47" s="50">
        <f>T30</f>
        <v>1</v>
      </c>
      <c r="U47" s="39">
        <f>U46*T47</f>
        <v>779.60000000000014</v>
      </c>
    </row>
    <row r="48" spans="1:21" x14ac:dyDescent="0.2">
      <c r="A48" s="34" t="s">
        <v>156</v>
      </c>
    </row>
    <row r="49" spans="1:21" ht="24.75" customHeight="1" x14ac:dyDescent="0.2">
      <c r="A49" s="45" t="s">
        <v>133</v>
      </c>
      <c r="B49" s="119" t="str">
        <f>B14</f>
        <v>Auxiliar de Jardinagem</v>
      </c>
      <c r="C49" s="118"/>
      <c r="D49" s="119" t="str">
        <f>D14</f>
        <v>Cabo de Turma</v>
      </c>
      <c r="E49" s="118"/>
      <c r="F49" s="119" t="str">
        <f>F14</f>
        <v>Coordenador Administrativo</v>
      </c>
      <c r="G49" s="118"/>
      <c r="H49" s="119" t="str">
        <f>H14</f>
        <v>Coordenador Operacional</v>
      </c>
      <c r="I49" s="118"/>
      <c r="J49" s="119" t="str">
        <f>J14</f>
        <v xml:space="preserve">Jardineiro </v>
      </c>
      <c r="K49" s="118"/>
      <c r="L49" s="119" t="str">
        <f>L14</f>
        <v>Lavador de Veículo</v>
      </c>
      <c r="M49" s="118"/>
      <c r="N49" s="119" t="str">
        <f>N14</f>
        <v>Limpador de Vidros</v>
      </c>
      <c r="O49" s="118"/>
      <c r="P49" s="119" t="str">
        <f>P14</f>
        <v>Servente de Limpeza - insalubridade 20%</v>
      </c>
      <c r="Q49" s="118"/>
      <c r="R49" s="119" t="str">
        <f>R14</f>
        <v>Servente de Limpeza - insalubridade 40%</v>
      </c>
      <c r="S49" s="118"/>
      <c r="T49" s="119" t="str">
        <f>T14</f>
        <v>Varredor</v>
      </c>
      <c r="U49" s="118"/>
    </row>
    <row r="50" spans="1:21" x14ac:dyDescent="0.2">
      <c r="A50" s="46" t="s">
        <v>155</v>
      </c>
      <c r="B50" s="38" t="s">
        <v>157</v>
      </c>
      <c r="C50" s="39">
        <f>C30</f>
        <v>6701.6</v>
      </c>
      <c r="D50" s="38" t="s">
        <v>157</v>
      </c>
      <c r="E50" s="39">
        <f>E30</f>
        <v>8509.6</v>
      </c>
      <c r="F50" s="38" t="s">
        <v>157</v>
      </c>
      <c r="G50" s="39">
        <f>G30</f>
        <v>9680</v>
      </c>
      <c r="H50" s="38" t="s">
        <v>157</v>
      </c>
      <c r="I50" s="39">
        <f>I30</f>
        <v>9680</v>
      </c>
      <c r="J50" s="38" t="s">
        <v>157</v>
      </c>
      <c r="K50" s="39">
        <f>K30</f>
        <v>6974.4</v>
      </c>
      <c r="L50" s="38" t="s">
        <v>157</v>
      </c>
      <c r="M50" s="39">
        <f>M30</f>
        <v>6701.6</v>
      </c>
      <c r="N50" s="38" t="s">
        <v>157</v>
      </c>
      <c r="O50" s="39">
        <f>O30</f>
        <v>13508.8</v>
      </c>
      <c r="P50" s="38" t="s">
        <v>157</v>
      </c>
      <c r="Q50" s="51">
        <f>Q30</f>
        <v>256972.79999999999</v>
      </c>
      <c r="R50" s="38" t="s">
        <v>157</v>
      </c>
      <c r="S50" s="39">
        <f>S30</f>
        <v>18736</v>
      </c>
      <c r="T50" s="38" t="s">
        <v>157</v>
      </c>
      <c r="U50" s="39">
        <f>U30</f>
        <v>6701.6</v>
      </c>
    </row>
    <row r="51" spans="1:21" x14ac:dyDescent="0.2">
      <c r="A51" s="47">
        <f>SUM(B53:S53)</f>
        <v>393140</v>
      </c>
      <c r="B51" s="38" t="s">
        <v>158</v>
      </c>
      <c r="C51" s="39">
        <f>C39</f>
        <v>546</v>
      </c>
      <c r="D51" s="38" t="s">
        <v>158</v>
      </c>
      <c r="E51" s="39">
        <f>E39</f>
        <v>546</v>
      </c>
      <c r="F51" s="38" t="s">
        <v>158</v>
      </c>
      <c r="G51" s="39">
        <f>G39</f>
        <v>546</v>
      </c>
      <c r="H51" s="38" t="s">
        <v>158</v>
      </c>
      <c r="I51" s="39">
        <f>I39</f>
        <v>546</v>
      </c>
      <c r="J51" s="38" t="s">
        <v>158</v>
      </c>
      <c r="K51" s="39">
        <f>K39</f>
        <v>546</v>
      </c>
      <c r="L51" s="38" t="s">
        <v>158</v>
      </c>
      <c r="M51" s="39">
        <f>M39</f>
        <v>546</v>
      </c>
      <c r="N51" s="38" t="s">
        <v>158</v>
      </c>
      <c r="O51" s="39">
        <f>O39</f>
        <v>1092</v>
      </c>
      <c r="P51" s="38" t="s">
        <v>158</v>
      </c>
      <c r="Q51" s="39">
        <f>Q39</f>
        <v>17472</v>
      </c>
      <c r="R51" s="38" t="s">
        <v>158</v>
      </c>
      <c r="S51" s="39">
        <f>S39</f>
        <v>1092</v>
      </c>
      <c r="T51" s="38" t="s">
        <v>158</v>
      </c>
      <c r="U51" s="39">
        <f>U39</f>
        <v>546</v>
      </c>
    </row>
    <row r="52" spans="1:21" x14ac:dyDescent="0.2">
      <c r="A52" s="48"/>
      <c r="B52" s="38" t="s">
        <v>159</v>
      </c>
      <c r="C52" s="39">
        <f>C47</f>
        <v>779.60000000000014</v>
      </c>
      <c r="D52" s="38" t="s">
        <v>159</v>
      </c>
      <c r="E52" s="39">
        <f>E47</f>
        <v>779.60000000000014</v>
      </c>
      <c r="F52" s="38" t="s">
        <v>159</v>
      </c>
      <c r="G52" s="39">
        <f>G47</f>
        <v>779.60000000000014</v>
      </c>
      <c r="H52" s="38" t="s">
        <v>159</v>
      </c>
      <c r="I52" s="39">
        <f>I47</f>
        <v>779.60000000000014</v>
      </c>
      <c r="J52" s="38" t="s">
        <v>159</v>
      </c>
      <c r="K52" s="39">
        <f>K47</f>
        <v>779.60000000000014</v>
      </c>
      <c r="L52" s="38" t="s">
        <v>159</v>
      </c>
      <c r="M52" s="39">
        <f>M47</f>
        <v>779.60000000000014</v>
      </c>
      <c r="N52" s="38" t="s">
        <v>159</v>
      </c>
      <c r="O52" s="39">
        <f>O47</f>
        <v>1559.2000000000003</v>
      </c>
      <c r="P52" s="38" t="s">
        <v>159</v>
      </c>
      <c r="Q52" s="39">
        <f>Q47</f>
        <v>24947.200000000004</v>
      </c>
      <c r="R52" s="38" t="s">
        <v>159</v>
      </c>
      <c r="S52" s="39">
        <f>S47</f>
        <v>1559.2000000000003</v>
      </c>
      <c r="T52" s="38" t="s">
        <v>159</v>
      </c>
      <c r="U52" s="39">
        <f>U47</f>
        <v>779.60000000000014</v>
      </c>
    </row>
    <row r="53" spans="1:21" x14ac:dyDescent="0.2">
      <c r="A53" s="49"/>
      <c r="B53" s="38" t="s">
        <v>160</v>
      </c>
      <c r="C53" s="39">
        <f>SUM(C50:C52)</f>
        <v>8027.2000000000007</v>
      </c>
      <c r="D53" s="38" t="s">
        <v>160</v>
      </c>
      <c r="E53" s="39">
        <f t="shared" ref="E53" si="111">SUM(E50:E52)</f>
        <v>9835.2000000000007</v>
      </c>
      <c r="F53" s="38" t="s">
        <v>160</v>
      </c>
      <c r="G53" s="39">
        <f t="shared" ref="G53" si="112">SUM(G50:G52)</f>
        <v>11005.6</v>
      </c>
      <c r="H53" s="38" t="s">
        <v>160</v>
      </c>
      <c r="I53" s="39">
        <f t="shared" ref="I53" si="113">SUM(I50:I52)</f>
        <v>11005.6</v>
      </c>
      <c r="J53" s="38" t="s">
        <v>160</v>
      </c>
      <c r="K53" s="39">
        <f t="shared" ref="K53" si="114">SUM(K50:K52)</f>
        <v>8300</v>
      </c>
      <c r="L53" s="38" t="s">
        <v>160</v>
      </c>
      <c r="M53" s="39">
        <f t="shared" ref="M53" si="115">SUM(M50:M52)</f>
        <v>8027.2000000000007</v>
      </c>
      <c r="N53" s="38" t="s">
        <v>160</v>
      </c>
      <c r="O53" s="39">
        <f t="shared" ref="O53" si="116">SUM(O50:O52)</f>
        <v>16160</v>
      </c>
      <c r="P53" s="38" t="s">
        <v>160</v>
      </c>
      <c r="Q53" s="51">
        <f t="shared" ref="Q53" si="117">SUM(Q50:Q52)</f>
        <v>299392</v>
      </c>
      <c r="R53" s="38" t="s">
        <v>160</v>
      </c>
      <c r="S53" s="39">
        <f t="shared" ref="S53:U53" si="118">SUM(S50:S52)</f>
        <v>21387.200000000001</v>
      </c>
      <c r="T53" s="38" t="s">
        <v>160</v>
      </c>
      <c r="U53" s="39">
        <f t="shared" si="118"/>
        <v>8027.2000000000007</v>
      </c>
    </row>
  </sheetData>
  <mergeCells count="30">
    <mergeCell ref="J26:K26"/>
    <mergeCell ref="H26:I26"/>
    <mergeCell ref="F26:G26"/>
    <mergeCell ref="D26:E26"/>
    <mergeCell ref="B26:C26"/>
    <mergeCell ref="T14:U14"/>
    <mergeCell ref="T26:U26"/>
    <mergeCell ref="T49:U49"/>
    <mergeCell ref="N26:O26"/>
    <mergeCell ref="L26:M26"/>
    <mergeCell ref="L49:M49"/>
    <mergeCell ref="N49:O49"/>
    <mergeCell ref="P49:Q49"/>
    <mergeCell ref="R49:S49"/>
    <mergeCell ref="P26:Q26"/>
    <mergeCell ref="R26:S26"/>
    <mergeCell ref="N14:O14"/>
    <mergeCell ref="P14:Q14"/>
    <mergeCell ref="R14:S14"/>
    <mergeCell ref="L14:M14"/>
    <mergeCell ref="B49:C49"/>
    <mergeCell ref="D49:E49"/>
    <mergeCell ref="F49:G49"/>
    <mergeCell ref="H49:I49"/>
    <mergeCell ref="J49:K49"/>
    <mergeCell ref="B14:C14"/>
    <mergeCell ref="D14:E14"/>
    <mergeCell ref="F14:G14"/>
    <mergeCell ref="H14:I14"/>
    <mergeCell ref="J14:K14"/>
  </mergeCells>
  <pageMargins left="0.51181102362204722" right="0.51181102362204722" top="0.98425196850393704" bottom="0.78740157480314965" header="0.31496062992125984" footer="0.31496062992125984"/>
  <pageSetup paperSize="9" scale="68" fitToHeight="0" orientation="landscape" r:id="rId1"/>
  <headerFooter>
    <oddHeader>&amp;C&amp;G</oddHeader>
    <oddFooter>&amp;L&amp;"-,Negrito"Documento elaborado em &amp;D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tabSelected="1" zoomScaleNormal="100" zoomScaleSheetLayoutView="100" workbookViewId="0">
      <selection activeCell="I43" sqref="I43"/>
    </sheetView>
  </sheetViews>
  <sheetFormatPr defaultRowHeight="12.75" x14ac:dyDescent="0.25"/>
  <cols>
    <col min="1" max="1" width="5.7109375" style="53" customWidth="1"/>
    <col min="2" max="2" width="25.7109375" style="53" customWidth="1"/>
    <col min="3" max="3" width="15.7109375" style="53" customWidth="1"/>
    <col min="4" max="4" width="10.7109375" style="53" customWidth="1"/>
    <col min="5" max="6" width="15.7109375" style="53" customWidth="1"/>
    <col min="7" max="16384" width="9.140625" style="53"/>
  </cols>
  <sheetData>
    <row r="1" spans="1:6" x14ac:dyDescent="0.25">
      <c r="A1" s="52" t="s">
        <v>165</v>
      </c>
    </row>
    <row r="3" spans="1:6" x14ac:dyDescent="0.25">
      <c r="A3" s="52" t="s">
        <v>166</v>
      </c>
    </row>
    <row r="4" spans="1:6" s="55" customFormat="1" ht="25.5" x14ac:dyDescent="0.25">
      <c r="A4" s="54" t="s">
        <v>167</v>
      </c>
      <c r="B4" s="54" t="s">
        <v>168</v>
      </c>
      <c r="C4" s="54" t="s">
        <v>169</v>
      </c>
      <c r="D4" s="54" t="s">
        <v>170</v>
      </c>
      <c r="E4" s="54" t="s">
        <v>171</v>
      </c>
      <c r="F4" s="54" t="s">
        <v>172</v>
      </c>
    </row>
    <row r="5" spans="1:6" x14ac:dyDescent="0.25">
      <c r="A5" s="56">
        <v>1</v>
      </c>
      <c r="B5" s="57" t="str">
        <f>auxjard!A15</f>
        <v>Auxiliar de Jardinagem</v>
      </c>
      <c r="C5" s="58">
        <f>auxjard!D160</f>
        <v>4290.6899999999996</v>
      </c>
      <c r="D5" s="56">
        <f>auxjard!D15</f>
        <v>1</v>
      </c>
      <c r="E5" s="58">
        <f>C5*D5</f>
        <v>4290.6899999999996</v>
      </c>
      <c r="F5" s="58">
        <f>E5*12</f>
        <v>51488.28</v>
      </c>
    </row>
    <row r="6" spans="1:6" ht="25.5" x14ac:dyDescent="0.25">
      <c r="A6" s="56">
        <v>2</v>
      </c>
      <c r="B6" s="57" t="str">
        <f>cabotur!A15</f>
        <v>Cabo de Turma</v>
      </c>
      <c r="C6" s="58">
        <f>cabotur!D160</f>
        <v>5101.71</v>
      </c>
      <c r="D6" s="56">
        <f>cabotur!D15</f>
        <v>1</v>
      </c>
      <c r="E6" s="58">
        <f t="shared" ref="E6:E14" si="0">C6*D6</f>
        <v>5101.71</v>
      </c>
      <c r="F6" s="58">
        <f t="shared" ref="F6:F14" si="1">E6*12</f>
        <v>61220.520000000004</v>
      </c>
    </row>
    <row r="7" spans="1:6" x14ac:dyDescent="0.25">
      <c r="A7" s="56">
        <v>3</v>
      </c>
      <c r="B7" s="57" t="str">
        <f>coordadm!A15</f>
        <v>Coordenador Administrativo</v>
      </c>
      <c r="C7" s="58">
        <f>coordadm!D160</f>
        <v>5643.92</v>
      </c>
      <c r="D7" s="56">
        <f>coordadm!D15</f>
        <v>1</v>
      </c>
      <c r="E7" s="58">
        <f t="shared" si="0"/>
        <v>5643.92</v>
      </c>
      <c r="F7" s="58">
        <f t="shared" si="1"/>
        <v>67727.040000000008</v>
      </c>
    </row>
    <row r="8" spans="1:6" x14ac:dyDescent="0.25">
      <c r="A8" s="56">
        <v>4</v>
      </c>
      <c r="B8" s="57" t="str">
        <f>coordope!A15</f>
        <v>Coordenador Operacional</v>
      </c>
      <c r="C8" s="58">
        <f>coordope!D160</f>
        <v>5643.92</v>
      </c>
      <c r="D8" s="56">
        <f>coordope!D15</f>
        <v>1</v>
      </c>
      <c r="E8" s="58">
        <f t="shared" si="0"/>
        <v>5643.92</v>
      </c>
      <c r="F8" s="58">
        <f t="shared" si="1"/>
        <v>67727.040000000008</v>
      </c>
    </row>
    <row r="9" spans="1:6" x14ac:dyDescent="0.25">
      <c r="A9" s="56">
        <v>5</v>
      </c>
      <c r="B9" s="57" t="str">
        <f>jardineiro!A15</f>
        <v xml:space="preserve">Jardineiro </v>
      </c>
      <c r="C9" s="58">
        <f>jardineiro!D160</f>
        <v>4417.1499999999996</v>
      </c>
      <c r="D9" s="56">
        <f>jardineiro!D15</f>
        <v>1</v>
      </c>
      <c r="E9" s="58">
        <f t="shared" si="0"/>
        <v>4417.1499999999996</v>
      </c>
      <c r="F9" s="58">
        <f t="shared" si="1"/>
        <v>53005.799999999996</v>
      </c>
    </row>
    <row r="10" spans="1:6" x14ac:dyDescent="0.25">
      <c r="A10" s="56">
        <v>6</v>
      </c>
      <c r="B10" s="57" t="str">
        <f>lavadorveic!A15</f>
        <v>Lavador de Veículo</v>
      </c>
      <c r="C10" s="58">
        <f>lavadorveic!D160</f>
        <v>4243.0600000000004</v>
      </c>
      <c r="D10" s="56">
        <f>lavadorveic!D15</f>
        <v>1</v>
      </c>
      <c r="E10" s="58">
        <f t="shared" si="0"/>
        <v>4243.0600000000004</v>
      </c>
      <c r="F10" s="58">
        <f t="shared" si="1"/>
        <v>50916.72</v>
      </c>
    </row>
    <row r="11" spans="1:6" x14ac:dyDescent="0.25">
      <c r="A11" s="56">
        <v>7</v>
      </c>
      <c r="B11" s="57" t="str">
        <f>limpavidro!A15</f>
        <v>Limpador de Vidros</v>
      </c>
      <c r="C11" s="58">
        <f>limpavidro!D160</f>
        <v>4268.5200000000004</v>
      </c>
      <c r="D11" s="56">
        <f>limpavidro!D15</f>
        <v>2</v>
      </c>
      <c r="E11" s="58">
        <f t="shared" si="0"/>
        <v>8537.0400000000009</v>
      </c>
      <c r="F11" s="58">
        <f t="shared" si="1"/>
        <v>102444.48000000001</v>
      </c>
    </row>
    <row r="12" spans="1:6" ht="25.5" x14ac:dyDescent="0.25">
      <c r="A12" s="56">
        <v>8</v>
      </c>
      <c r="B12" s="57" t="str">
        <f>servente20!A15</f>
        <v>Servente de Limpeza - insalubridade 20%</v>
      </c>
      <c r="C12" s="58">
        <f>servente20!D160</f>
        <v>4886.67</v>
      </c>
      <c r="D12" s="56">
        <f>servente20!D15</f>
        <v>32</v>
      </c>
      <c r="E12" s="58">
        <f>C12*D12</f>
        <v>156373.44</v>
      </c>
      <c r="F12" s="58">
        <f>E12*12</f>
        <v>1876481.28</v>
      </c>
    </row>
    <row r="13" spans="1:6" ht="25.5" x14ac:dyDescent="0.25">
      <c r="A13" s="56">
        <v>9</v>
      </c>
      <c r="B13" s="57" t="str">
        <f>servente40!A15</f>
        <v>Servente de Limpeza - insalubridade 40%</v>
      </c>
      <c r="C13" s="58">
        <f>servente40!D160</f>
        <v>5525.93</v>
      </c>
      <c r="D13" s="56">
        <f>servente40!D15</f>
        <v>2</v>
      </c>
      <c r="E13" s="58">
        <f t="shared" si="0"/>
        <v>11051.86</v>
      </c>
      <c r="F13" s="58">
        <f t="shared" si="1"/>
        <v>132622.32</v>
      </c>
    </row>
    <row r="14" spans="1:6" x14ac:dyDescent="0.25">
      <c r="A14" s="56">
        <v>10</v>
      </c>
      <c r="B14" s="57" t="str">
        <f>varredor!A15</f>
        <v>Varredor</v>
      </c>
      <c r="C14" s="58">
        <f>varredor!D160</f>
        <v>4248.3900000000003</v>
      </c>
      <c r="D14" s="56">
        <f>varredor!D15</f>
        <v>1</v>
      </c>
      <c r="E14" s="58">
        <f t="shared" si="0"/>
        <v>4248.3900000000003</v>
      </c>
      <c r="F14" s="58">
        <f t="shared" si="1"/>
        <v>50980.680000000008</v>
      </c>
    </row>
    <row r="15" spans="1:6" x14ac:dyDescent="0.25">
      <c r="F15" s="58">
        <f>SUM(F5:F14)</f>
        <v>2514614.16</v>
      </c>
    </row>
    <row r="17" spans="1:6" x14ac:dyDescent="0.25">
      <c r="A17" s="52" t="s">
        <v>173</v>
      </c>
    </row>
    <row r="18" spans="1:6" s="59" customFormat="1" ht="25.5" x14ac:dyDescent="0.25">
      <c r="A18" s="54" t="s">
        <v>167</v>
      </c>
      <c r="B18" s="54" t="s">
        <v>168</v>
      </c>
      <c r="C18" s="54" t="s">
        <v>169</v>
      </c>
      <c r="D18" s="54" t="s">
        <v>170</v>
      </c>
      <c r="E18" s="54" t="s">
        <v>171</v>
      </c>
      <c r="F18" s="54" t="s">
        <v>187</v>
      </c>
    </row>
    <row r="19" spans="1:6" ht="38.25" x14ac:dyDescent="0.25">
      <c r="A19" s="56">
        <v>11</v>
      </c>
      <c r="B19" s="57" t="str">
        <f>servente20adic!A15</f>
        <v>Servente de Limpeza - insalubridade 20% - acréscimo temporário</v>
      </c>
      <c r="C19" s="58">
        <f>servente20adic!D159</f>
        <v>4745.4399999999996</v>
      </c>
      <c r="D19" s="56">
        <f>servente20adic!D15</f>
        <v>10</v>
      </c>
      <c r="E19" s="58">
        <f>C19*D19</f>
        <v>47454.399999999994</v>
      </c>
      <c r="F19" s="58">
        <f>E19*3</f>
        <v>142363.19999999998</v>
      </c>
    </row>
    <row r="20" spans="1:6" x14ac:dyDescent="0.25">
      <c r="F20" s="58">
        <f>SUM(F19:F19)</f>
        <v>142363.19999999998</v>
      </c>
    </row>
    <row r="22" spans="1:6" x14ac:dyDescent="0.25">
      <c r="A22" s="52" t="s">
        <v>174</v>
      </c>
    </row>
    <row r="23" spans="1:6" x14ac:dyDescent="0.25">
      <c r="A23" s="52" t="s">
        <v>175</v>
      </c>
      <c r="D23" s="52" t="s">
        <v>176</v>
      </c>
    </row>
    <row r="24" spans="1:6" x14ac:dyDescent="0.25">
      <c r="A24" s="60" t="s">
        <v>177</v>
      </c>
      <c r="B24" s="61"/>
      <c r="C24" s="58">
        <f>F15</f>
        <v>2514614.16</v>
      </c>
      <c r="D24" s="60" t="s">
        <v>177</v>
      </c>
      <c r="E24" s="61"/>
      <c r="F24" s="58">
        <f>F15</f>
        <v>2514614.16</v>
      </c>
    </row>
    <row r="25" spans="1:6" x14ac:dyDescent="0.25">
      <c r="A25" s="60" t="s">
        <v>188</v>
      </c>
      <c r="B25" s="61"/>
      <c r="C25" s="58">
        <f>materanonaoele!F58</f>
        <v>643929.13</v>
      </c>
      <c r="D25" s="60" t="s">
        <v>188</v>
      </c>
      <c r="E25" s="61"/>
      <c r="F25" s="58">
        <f>materanoele!F58</f>
        <v>669990.65</v>
      </c>
    </row>
    <row r="26" spans="1:6" x14ac:dyDescent="0.25">
      <c r="A26" s="60" t="s">
        <v>178</v>
      </c>
      <c r="B26" s="61"/>
      <c r="C26" s="58">
        <v>0</v>
      </c>
      <c r="D26" s="60" t="s">
        <v>178</v>
      </c>
      <c r="E26" s="61"/>
      <c r="F26" s="58">
        <f>F20</f>
        <v>142363.19999999998</v>
      </c>
    </row>
    <row r="27" spans="1:6" x14ac:dyDescent="0.25">
      <c r="A27" s="60" t="s">
        <v>179</v>
      </c>
      <c r="B27" s="61"/>
      <c r="C27" s="58">
        <v>0</v>
      </c>
      <c r="D27" s="60" t="s">
        <v>179</v>
      </c>
      <c r="E27" s="61"/>
      <c r="F27" s="58">
        <f>horaextra!A51</f>
        <v>393140</v>
      </c>
    </row>
    <row r="28" spans="1:6" x14ac:dyDescent="0.25">
      <c r="A28" s="60" t="s">
        <v>180</v>
      </c>
      <c r="B28" s="61"/>
      <c r="C28" s="58">
        <f>SUM(C24:C27)</f>
        <v>3158543.29</v>
      </c>
      <c r="D28" s="60" t="s">
        <v>181</v>
      </c>
      <c r="E28" s="61"/>
      <c r="F28" s="58">
        <f>SUM(F24:F27)</f>
        <v>3720108.0100000002</v>
      </c>
    </row>
    <row r="29" spans="1:6" x14ac:dyDescent="0.25">
      <c r="A29" s="62" t="s">
        <v>182</v>
      </c>
      <c r="B29" s="63"/>
      <c r="C29" s="63"/>
      <c r="D29" s="64"/>
      <c r="E29" s="65" t="s">
        <v>183</v>
      </c>
      <c r="F29" s="66">
        <f>C28+F28</f>
        <v>6878651.3000000007</v>
      </c>
    </row>
  </sheetData>
  <pageMargins left="0.511811024" right="0.511811024" top="0.99020833333333336" bottom="0.78740157499999996" header="0.31496062000000002" footer="0.31496062000000002"/>
  <pageSetup paperSize="9" scale="97" orientation="portrait" r:id="rId1"/>
  <headerFooter>
    <oddHeader>&amp;C&amp;G</oddHeader>
    <oddFooter>&amp;L&amp;"-,Negrito"Documento elaborado em &amp;D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60"/>
  <sheetViews>
    <sheetView zoomScale="115" zoomScaleNormal="115" workbookViewId="0">
      <selection activeCell="D132" sqref="D132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113" t="s">
        <v>0</v>
      </c>
      <c r="B1" s="113"/>
      <c r="C1" s="113"/>
      <c r="D1" s="113"/>
    </row>
    <row r="2" spans="1:4" ht="15.75" x14ac:dyDescent="0.25">
      <c r="A2" s="26"/>
      <c r="B2" s="26"/>
      <c r="C2" s="26"/>
      <c r="D2" s="26"/>
    </row>
    <row r="3" spans="1:4" x14ac:dyDescent="0.2">
      <c r="A3" s="90" t="s">
        <v>255</v>
      </c>
      <c r="B3" s="90"/>
      <c r="C3" s="90"/>
      <c r="D3" s="90"/>
    </row>
    <row r="4" spans="1:4" x14ac:dyDescent="0.2">
      <c r="A4" s="2"/>
      <c r="B4" s="2"/>
      <c r="C4" s="2"/>
      <c r="D4" s="2"/>
    </row>
    <row r="5" spans="1:4" x14ac:dyDescent="0.2">
      <c r="A5" s="91" t="s">
        <v>256</v>
      </c>
      <c r="B5" s="92"/>
      <c r="C5" s="92"/>
      <c r="D5" s="93"/>
    </row>
    <row r="6" spans="1:4" x14ac:dyDescent="0.2">
      <c r="A6" s="83" t="s">
        <v>4</v>
      </c>
      <c r="B6" s="84" t="s">
        <v>257</v>
      </c>
      <c r="C6" s="85"/>
      <c r="D6" s="86" t="s">
        <v>262</v>
      </c>
    </row>
    <row r="7" spans="1:4" x14ac:dyDescent="0.2">
      <c r="A7" s="83" t="s">
        <v>6</v>
      </c>
      <c r="B7" s="84" t="s">
        <v>258</v>
      </c>
      <c r="C7" s="85"/>
      <c r="D7" s="86" t="s">
        <v>263</v>
      </c>
    </row>
    <row r="8" spans="1:4" x14ac:dyDescent="0.2">
      <c r="A8" s="83" t="s">
        <v>8</v>
      </c>
      <c r="B8" s="84" t="s">
        <v>259</v>
      </c>
      <c r="C8" s="85"/>
      <c r="D8" s="87">
        <v>45785</v>
      </c>
    </row>
    <row r="9" spans="1:4" x14ac:dyDescent="0.2">
      <c r="A9" s="83" t="s">
        <v>10</v>
      </c>
      <c r="B9" s="94" t="s">
        <v>264</v>
      </c>
      <c r="C9" s="95"/>
      <c r="D9" s="86" t="s">
        <v>260</v>
      </c>
    </row>
    <row r="10" spans="1:4" x14ac:dyDescent="0.2">
      <c r="A10" s="83" t="s">
        <v>12</v>
      </c>
      <c r="B10" s="94" t="s">
        <v>265</v>
      </c>
      <c r="C10" s="95"/>
      <c r="D10" s="86" t="s">
        <v>261</v>
      </c>
    </row>
    <row r="12" spans="1:4" x14ac:dyDescent="0.2">
      <c r="A12" s="103" t="s">
        <v>88</v>
      </c>
      <c r="B12" s="103"/>
      <c r="C12" s="103"/>
      <c r="D12" s="103"/>
    </row>
    <row r="13" spans="1:4" x14ac:dyDescent="0.2">
      <c r="A13" s="2"/>
      <c r="B13" s="2"/>
      <c r="C13" s="2"/>
      <c r="D13" s="2"/>
    </row>
    <row r="14" spans="1:4" ht="38.25" x14ac:dyDescent="0.2">
      <c r="A14" s="115" t="s">
        <v>89</v>
      </c>
      <c r="B14" s="115"/>
      <c r="C14" s="32" t="s">
        <v>90</v>
      </c>
      <c r="D14" s="27" t="s">
        <v>91</v>
      </c>
    </row>
    <row r="15" spans="1:4" x14ac:dyDescent="0.2">
      <c r="A15" s="96" t="s">
        <v>107</v>
      </c>
      <c r="B15" s="96"/>
      <c r="C15" s="33" t="s">
        <v>101</v>
      </c>
      <c r="D15" s="33">
        <v>1</v>
      </c>
    </row>
    <row r="17" spans="1:4" x14ac:dyDescent="0.2">
      <c r="A17" s="103" t="s">
        <v>72</v>
      </c>
      <c r="B17" s="103"/>
      <c r="C17" s="103"/>
      <c r="D17" s="103"/>
    </row>
    <row r="18" spans="1:4" x14ac:dyDescent="0.2">
      <c r="A18" s="2"/>
      <c r="B18" s="2"/>
      <c r="C18" s="2"/>
      <c r="D18" s="2"/>
    </row>
    <row r="19" spans="1:4" x14ac:dyDescent="0.2">
      <c r="A19" s="5">
        <v>1</v>
      </c>
      <c r="B19" s="5" t="s">
        <v>73</v>
      </c>
      <c r="C19" s="97" t="s">
        <v>107</v>
      </c>
      <c r="D19" s="98"/>
    </row>
    <row r="20" spans="1:4" x14ac:dyDescent="0.2">
      <c r="A20" s="5">
        <v>2</v>
      </c>
      <c r="B20" s="5" t="s">
        <v>92</v>
      </c>
      <c r="C20" s="97" t="s">
        <v>108</v>
      </c>
      <c r="D20" s="98"/>
    </row>
    <row r="21" spans="1:4" x14ac:dyDescent="0.2">
      <c r="A21" s="5">
        <v>3</v>
      </c>
      <c r="B21" s="5" t="s">
        <v>74</v>
      </c>
      <c r="C21" s="101">
        <v>1638</v>
      </c>
      <c r="D21" s="102"/>
    </row>
    <row r="22" spans="1:4" x14ac:dyDescent="0.2">
      <c r="A22" s="5">
        <v>4</v>
      </c>
      <c r="B22" s="5" t="s">
        <v>75</v>
      </c>
      <c r="C22" s="97"/>
      <c r="D22" s="98"/>
    </row>
    <row r="23" spans="1:4" x14ac:dyDescent="0.2">
      <c r="A23" s="5">
        <v>5</v>
      </c>
      <c r="B23" s="5" t="s">
        <v>76</v>
      </c>
      <c r="C23" s="97"/>
      <c r="D23" s="98"/>
    </row>
    <row r="25" spans="1:4" x14ac:dyDescent="0.2">
      <c r="A25" s="103" t="s">
        <v>1</v>
      </c>
      <c r="B25" s="103"/>
      <c r="C25" s="103"/>
      <c r="D25" s="103"/>
    </row>
    <row r="27" spans="1:4" x14ac:dyDescent="0.2">
      <c r="A27" s="30">
        <v>1</v>
      </c>
      <c r="B27" s="99" t="s">
        <v>2</v>
      </c>
      <c r="C27" s="99"/>
      <c r="D27" s="30" t="s">
        <v>3</v>
      </c>
    </row>
    <row r="28" spans="1:4" x14ac:dyDescent="0.2">
      <c r="A28" s="32" t="s">
        <v>4</v>
      </c>
      <c r="B28" s="100" t="s">
        <v>5</v>
      </c>
      <c r="C28" s="100"/>
      <c r="D28" s="13">
        <v>1638</v>
      </c>
    </row>
    <row r="29" spans="1:4" x14ac:dyDescent="0.2">
      <c r="A29" s="32" t="s">
        <v>6</v>
      </c>
      <c r="B29" s="100" t="s">
        <v>7</v>
      </c>
      <c r="C29" s="100"/>
      <c r="D29" s="13"/>
    </row>
    <row r="30" spans="1:4" x14ac:dyDescent="0.2">
      <c r="A30" s="32" t="s">
        <v>8</v>
      </c>
      <c r="B30" s="100" t="s">
        <v>9</v>
      </c>
      <c r="C30" s="100"/>
      <c r="D30" s="13">
        <f>1518*0.2</f>
        <v>303.60000000000002</v>
      </c>
    </row>
    <row r="31" spans="1:4" x14ac:dyDescent="0.2">
      <c r="A31" s="32" t="s">
        <v>10</v>
      </c>
      <c r="B31" s="100" t="s">
        <v>11</v>
      </c>
      <c r="C31" s="100"/>
      <c r="D31" s="13"/>
    </row>
    <row r="32" spans="1:4" x14ac:dyDescent="0.2">
      <c r="A32" s="32" t="s">
        <v>12</v>
      </c>
      <c r="B32" s="100" t="s">
        <v>13</v>
      </c>
      <c r="C32" s="100"/>
      <c r="D32" s="13"/>
    </row>
    <row r="33" spans="1:4" x14ac:dyDescent="0.2">
      <c r="A33" s="32"/>
      <c r="B33" s="100"/>
      <c r="C33" s="100"/>
      <c r="D33" s="13"/>
    </row>
    <row r="34" spans="1:4" x14ac:dyDescent="0.2">
      <c r="A34" s="32" t="s">
        <v>14</v>
      </c>
      <c r="B34" s="100" t="s">
        <v>15</v>
      </c>
      <c r="C34" s="100"/>
      <c r="D34" s="13"/>
    </row>
    <row r="35" spans="1:4" x14ac:dyDescent="0.2">
      <c r="A35" s="99" t="s">
        <v>16</v>
      </c>
      <c r="B35" s="99"/>
      <c r="C35" s="99"/>
      <c r="D35" s="20">
        <f>SUM(D28:D34)</f>
        <v>1941.6</v>
      </c>
    </row>
    <row r="38" spans="1:4" x14ac:dyDescent="0.2">
      <c r="A38" s="104" t="s">
        <v>17</v>
      </c>
      <c r="B38" s="104"/>
      <c r="C38" s="104"/>
      <c r="D38" s="104"/>
    </row>
    <row r="39" spans="1:4" x14ac:dyDescent="0.2">
      <c r="A39" s="3"/>
    </row>
    <row r="40" spans="1:4" x14ac:dyDescent="0.2">
      <c r="A40" s="111" t="s">
        <v>18</v>
      </c>
      <c r="B40" s="111"/>
      <c r="C40" s="111"/>
      <c r="D40" s="111"/>
    </row>
    <row r="42" spans="1:4" x14ac:dyDescent="0.2">
      <c r="A42" s="30" t="s">
        <v>19</v>
      </c>
      <c r="B42" s="99" t="s">
        <v>20</v>
      </c>
      <c r="C42" s="99"/>
      <c r="D42" s="30" t="s">
        <v>3</v>
      </c>
    </row>
    <row r="43" spans="1:4" x14ac:dyDescent="0.2">
      <c r="A43" s="32" t="s">
        <v>4</v>
      </c>
      <c r="B43" s="29" t="s">
        <v>21</v>
      </c>
      <c r="C43" s="12">
        <f>TRUNC(1/12,4)</f>
        <v>8.3299999999999999E-2</v>
      </c>
      <c r="D43" s="13">
        <f>TRUNC($D$35*C43,2)</f>
        <v>161.72999999999999</v>
      </c>
    </row>
    <row r="44" spans="1:4" x14ac:dyDescent="0.2">
      <c r="A44" s="32" t="s">
        <v>6</v>
      </c>
      <c r="B44" s="29" t="s">
        <v>22</v>
      </c>
      <c r="C44" s="12">
        <f>TRUNC(((1+1/3)/12),4)</f>
        <v>0.1111</v>
      </c>
      <c r="D44" s="13">
        <f>TRUNC($D$35*C44,2)</f>
        <v>215.71</v>
      </c>
    </row>
    <row r="45" spans="1:4" x14ac:dyDescent="0.2">
      <c r="A45" s="99" t="s">
        <v>16</v>
      </c>
      <c r="B45" s="99"/>
      <c r="C45" s="28">
        <f>SUM(C43:C44)</f>
        <v>0.19440000000000002</v>
      </c>
      <c r="D45" s="19">
        <f>SUM(D43:D44)</f>
        <v>377.44</v>
      </c>
    </row>
    <row r="48" spans="1:4" x14ac:dyDescent="0.2">
      <c r="A48" s="114" t="s">
        <v>23</v>
      </c>
      <c r="B48" s="114"/>
      <c r="C48" s="114"/>
      <c r="D48" s="114"/>
    </row>
    <row r="50" spans="1:4" x14ac:dyDescent="0.2">
      <c r="A50" s="30" t="s">
        <v>24</v>
      </c>
      <c r="B50" s="30" t="s">
        <v>25</v>
      </c>
      <c r="C50" s="30" t="s">
        <v>26</v>
      </c>
      <c r="D50" s="30" t="s">
        <v>3</v>
      </c>
    </row>
    <row r="51" spans="1:4" x14ac:dyDescent="0.2">
      <c r="A51" s="32" t="s">
        <v>4</v>
      </c>
      <c r="B51" s="29" t="s">
        <v>27</v>
      </c>
      <c r="C51" s="9">
        <v>0.2</v>
      </c>
      <c r="D51" s="13">
        <f>TRUNC(($D$35+$D$45)*C51,2)</f>
        <v>463.8</v>
      </c>
    </row>
    <row r="52" spans="1:4" x14ac:dyDescent="0.2">
      <c r="A52" s="32" t="s">
        <v>6</v>
      </c>
      <c r="B52" s="29" t="s">
        <v>28</v>
      </c>
      <c r="C52" s="9">
        <v>2.5000000000000001E-2</v>
      </c>
      <c r="D52" s="13">
        <f t="shared" ref="D52:D58" si="0">TRUNC(($D$35+$D$45)*C52,2)</f>
        <v>57.97</v>
      </c>
    </row>
    <row r="53" spans="1:4" x14ac:dyDescent="0.2">
      <c r="A53" s="32" t="s">
        <v>8</v>
      </c>
      <c r="B53" s="29" t="s">
        <v>29</v>
      </c>
      <c r="C53" s="16">
        <v>0.03</v>
      </c>
      <c r="D53" s="13">
        <f t="shared" si="0"/>
        <v>69.569999999999993</v>
      </c>
    </row>
    <row r="54" spans="1:4" x14ac:dyDescent="0.2">
      <c r="A54" s="32" t="s">
        <v>10</v>
      </c>
      <c r="B54" s="29" t="s">
        <v>30</v>
      </c>
      <c r="C54" s="9">
        <v>1.4999999999999999E-2</v>
      </c>
      <c r="D54" s="13">
        <f t="shared" si="0"/>
        <v>34.78</v>
      </c>
    </row>
    <row r="55" spans="1:4" x14ac:dyDescent="0.2">
      <c r="A55" s="32" t="s">
        <v>12</v>
      </c>
      <c r="B55" s="29" t="s">
        <v>31</v>
      </c>
      <c r="C55" s="9">
        <v>0.01</v>
      </c>
      <c r="D55" s="13">
        <f t="shared" si="0"/>
        <v>23.19</v>
      </c>
    </row>
    <row r="56" spans="1:4" x14ac:dyDescent="0.2">
      <c r="A56" s="32" t="s">
        <v>32</v>
      </c>
      <c r="B56" s="29" t="s">
        <v>33</v>
      </c>
      <c r="C56" s="9">
        <v>6.0000000000000001E-3</v>
      </c>
      <c r="D56" s="13">
        <f t="shared" si="0"/>
        <v>13.91</v>
      </c>
    </row>
    <row r="57" spans="1:4" x14ac:dyDescent="0.2">
      <c r="A57" s="32" t="s">
        <v>14</v>
      </c>
      <c r="B57" s="29" t="s">
        <v>34</v>
      </c>
      <c r="C57" s="9">
        <v>2E-3</v>
      </c>
      <c r="D57" s="13">
        <f t="shared" si="0"/>
        <v>4.63</v>
      </c>
    </row>
    <row r="58" spans="1:4" x14ac:dyDescent="0.2">
      <c r="A58" s="32" t="s">
        <v>35</v>
      </c>
      <c r="B58" s="29" t="s">
        <v>36</v>
      </c>
      <c r="C58" s="9">
        <v>0.08</v>
      </c>
      <c r="D58" s="13">
        <f t="shared" si="0"/>
        <v>185.52</v>
      </c>
    </row>
    <row r="59" spans="1:4" x14ac:dyDescent="0.2">
      <c r="A59" s="99" t="s">
        <v>37</v>
      </c>
      <c r="B59" s="99"/>
      <c r="C59" s="15">
        <f>SUM(C51:C58)</f>
        <v>0.36800000000000005</v>
      </c>
      <c r="D59" s="19">
        <f>SUM(D51:D58)</f>
        <v>853.36999999999989</v>
      </c>
    </row>
    <row r="62" spans="1:4" x14ac:dyDescent="0.2">
      <c r="A62" s="111" t="s">
        <v>38</v>
      </c>
      <c r="B62" s="111"/>
      <c r="C62" s="111"/>
      <c r="D62" s="111"/>
    </row>
    <row r="64" spans="1:4" x14ac:dyDescent="0.2">
      <c r="A64" s="30" t="s">
        <v>39</v>
      </c>
      <c r="B64" s="110" t="s">
        <v>40</v>
      </c>
      <c r="C64" s="110"/>
      <c r="D64" s="30" t="s">
        <v>3</v>
      </c>
    </row>
    <row r="65" spans="1:5" x14ac:dyDescent="0.2">
      <c r="A65" s="32" t="s">
        <v>4</v>
      </c>
      <c r="B65" s="100" t="s">
        <v>41</v>
      </c>
      <c r="C65" s="100"/>
      <c r="D65" s="13">
        <f>IF((22*2*5.6)-(D28*0.06)&gt;0,(22*2*5.6)-(D28*0.06),0)</f>
        <v>148.11999999999998</v>
      </c>
    </row>
    <row r="66" spans="1:5" x14ac:dyDescent="0.2">
      <c r="A66" s="32" t="s">
        <v>6</v>
      </c>
      <c r="B66" s="100" t="s">
        <v>42</v>
      </c>
      <c r="C66" s="100"/>
      <c r="D66" s="13">
        <f>20*0.8*22</f>
        <v>352</v>
      </c>
    </row>
    <row r="67" spans="1:5" x14ac:dyDescent="0.2">
      <c r="A67" s="32" t="s">
        <v>8</v>
      </c>
      <c r="B67" s="100" t="s">
        <v>103</v>
      </c>
      <c r="C67" s="100"/>
      <c r="D67" s="13">
        <v>280</v>
      </c>
    </row>
    <row r="68" spans="1:5" x14ac:dyDescent="0.2">
      <c r="A68" s="32" t="s">
        <v>10</v>
      </c>
      <c r="B68" s="100" t="s">
        <v>104</v>
      </c>
      <c r="C68" s="100"/>
      <c r="D68" s="13">
        <v>23</v>
      </c>
    </row>
    <row r="69" spans="1:5" x14ac:dyDescent="0.2">
      <c r="A69" s="32" t="s">
        <v>12</v>
      </c>
      <c r="B69" s="100" t="s">
        <v>105</v>
      </c>
      <c r="C69" s="100"/>
      <c r="D69" s="13">
        <v>4.8</v>
      </c>
    </row>
    <row r="70" spans="1:5" x14ac:dyDescent="0.2">
      <c r="A70" s="99" t="s">
        <v>16</v>
      </c>
      <c r="B70" s="99"/>
      <c r="C70" s="99"/>
      <c r="D70" s="19">
        <f>SUM(D65:D69)</f>
        <v>807.92</v>
      </c>
    </row>
    <row r="71" spans="1:5" x14ac:dyDescent="0.2">
      <c r="E71" s="18"/>
    </row>
    <row r="73" spans="1:5" x14ac:dyDescent="0.2">
      <c r="A73" s="111" t="s">
        <v>43</v>
      </c>
      <c r="B73" s="111"/>
      <c r="C73" s="111"/>
      <c r="D73" s="111"/>
      <c r="E73" s="17"/>
    </row>
    <row r="74" spans="1:5" ht="12.75" customHeight="1" x14ac:dyDescent="0.2">
      <c r="E74" s="18"/>
    </row>
    <row r="75" spans="1:5" x14ac:dyDescent="0.2">
      <c r="A75" s="30">
        <v>2</v>
      </c>
      <c r="B75" s="110" t="s">
        <v>44</v>
      </c>
      <c r="C75" s="110"/>
      <c r="D75" s="30" t="s">
        <v>3</v>
      </c>
    </row>
    <row r="76" spans="1:5" x14ac:dyDescent="0.2">
      <c r="A76" s="32" t="s">
        <v>19</v>
      </c>
      <c r="B76" s="100" t="s">
        <v>20</v>
      </c>
      <c r="C76" s="100"/>
      <c r="D76" s="14">
        <f>D45</f>
        <v>377.44</v>
      </c>
    </row>
    <row r="77" spans="1:5" x14ac:dyDescent="0.2">
      <c r="A77" s="32" t="s">
        <v>24</v>
      </c>
      <c r="B77" s="100" t="s">
        <v>25</v>
      </c>
      <c r="C77" s="100"/>
      <c r="D77" s="14">
        <f>D59</f>
        <v>853.36999999999989</v>
      </c>
    </row>
    <row r="78" spans="1:5" x14ac:dyDescent="0.2">
      <c r="A78" s="32" t="s">
        <v>39</v>
      </c>
      <c r="B78" s="100" t="s">
        <v>40</v>
      </c>
      <c r="C78" s="100"/>
      <c r="D78" s="14">
        <f>D70</f>
        <v>807.92</v>
      </c>
    </row>
    <row r="79" spans="1:5" x14ac:dyDescent="0.2">
      <c r="A79" s="99" t="s">
        <v>16</v>
      </c>
      <c r="B79" s="99"/>
      <c r="C79" s="99"/>
      <c r="D79" s="19">
        <f>SUM(D76:D78)</f>
        <v>2038.73</v>
      </c>
    </row>
    <row r="80" spans="1:5" x14ac:dyDescent="0.2">
      <c r="A80" s="4"/>
    </row>
    <row r="82" spans="1:4" x14ac:dyDescent="0.2">
      <c r="A82" s="104" t="s">
        <v>45</v>
      </c>
      <c r="B82" s="104"/>
      <c r="C82" s="104"/>
      <c r="D82" s="104"/>
    </row>
    <row r="84" spans="1:4" x14ac:dyDescent="0.2">
      <c r="A84" s="30">
        <v>3</v>
      </c>
      <c r="B84" s="110" t="s">
        <v>46</v>
      </c>
      <c r="C84" s="110"/>
      <c r="D84" s="30" t="s">
        <v>3</v>
      </c>
    </row>
    <row r="85" spans="1:4" x14ac:dyDescent="0.2">
      <c r="A85" s="32" t="s">
        <v>4</v>
      </c>
      <c r="B85" s="10" t="s">
        <v>47</v>
      </c>
      <c r="C85" s="9">
        <f>TRUNC(((1/12)*5%),4)</f>
        <v>4.1000000000000003E-3</v>
      </c>
      <c r="D85" s="13">
        <f>TRUNC($D$35*C85,2)</f>
        <v>7.96</v>
      </c>
    </row>
    <row r="86" spans="1:4" x14ac:dyDescent="0.2">
      <c r="A86" s="32" t="s">
        <v>6</v>
      </c>
      <c r="B86" s="10" t="s">
        <v>48</v>
      </c>
      <c r="C86" s="9">
        <v>0.08</v>
      </c>
      <c r="D86" s="13">
        <f>TRUNC(D85*C86,2)</f>
        <v>0.63</v>
      </c>
    </row>
    <row r="87" spans="1:4" x14ac:dyDescent="0.2">
      <c r="A87" s="32" t="s">
        <v>8</v>
      </c>
      <c r="B87" s="10" t="s">
        <v>98</v>
      </c>
      <c r="C87" s="9">
        <f>TRUNC(8%*5%*40%,4)</f>
        <v>1.6000000000000001E-3</v>
      </c>
      <c r="D87" s="13">
        <f>TRUNC($D$35*C87,2)</f>
        <v>3.1</v>
      </c>
    </row>
    <row r="88" spans="1:4" x14ac:dyDescent="0.2">
      <c r="A88" s="32" t="s">
        <v>10</v>
      </c>
      <c r="B88" s="10" t="s">
        <v>49</v>
      </c>
      <c r="C88" s="9">
        <f>TRUNC(((7/30)/12)*95%,4)</f>
        <v>1.84E-2</v>
      </c>
      <c r="D88" s="13">
        <f>TRUNC($D$35*C88,2)</f>
        <v>35.72</v>
      </c>
    </row>
    <row r="89" spans="1:4" ht="25.5" x14ac:dyDescent="0.2">
      <c r="A89" s="32" t="s">
        <v>12</v>
      </c>
      <c r="B89" s="10" t="s">
        <v>93</v>
      </c>
      <c r="C89" s="9">
        <f>C59</f>
        <v>0.36800000000000005</v>
      </c>
      <c r="D89" s="13">
        <f>TRUNC(D88*C89,2)</f>
        <v>13.14</v>
      </c>
    </row>
    <row r="90" spans="1:4" x14ac:dyDescent="0.2">
      <c r="A90" s="32" t="s">
        <v>32</v>
      </c>
      <c r="B90" s="10" t="s">
        <v>99</v>
      </c>
      <c r="C90" s="9">
        <f>TRUNC(8%*95%*40%,4)</f>
        <v>3.04E-2</v>
      </c>
      <c r="D90" s="13">
        <f t="shared" ref="D90" si="1">TRUNC($D$35*C90,2)</f>
        <v>59.02</v>
      </c>
    </row>
    <row r="91" spans="1:4" x14ac:dyDescent="0.2">
      <c r="A91" s="108" t="s">
        <v>16</v>
      </c>
      <c r="B91" s="109"/>
      <c r="C91" s="112"/>
      <c r="D91" s="19">
        <f>SUM(D85:D90)</f>
        <v>119.57</v>
      </c>
    </row>
    <row r="94" spans="1:4" x14ac:dyDescent="0.2">
      <c r="A94" s="104" t="s">
        <v>50</v>
      </c>
      <c r="B94" s="104"/>
      <c r="C94" s="104"/>
      <c r="D94" s="104"/>
    </row>
    <row r="97" spans="1:6" x14ac:dyDescent="0.2">
      <c r="A97" s="111" t="s">
        <v>77</v>
      </c>
      <c r="B97" s="111"/>
      <c r="C97" s="111"/>
      <c r="D97" s="111"/>
      <c r="E97" s="17"/>
      <c r="F97" s="17"/>
    </row>
    <row r="98" spans="1:6" x14ac:dyDescent="0.2">
      <c r="A98" s="3"/>
    </row>
    <row r="99" spans="1:6" x14ac:dyDescent="0.2">
      <c r="A99" s="30" t="s">
        <v>51</v>
      </c>
      <c r="B99" s="110" t="s">
        <v>78</v>
      </c>
      <c r="C99" s="110"/>
      <c r="D99" s="30" t="s">
        <v>3</v>
      </c>
    </row>
    <row r="100" spans="1:6" x14ac:dyDescent="0.2">
      <c r="A100" s="32" t="s">
        <v>4</v>
      </c>
      <c r="B100" s="29" t="s">
        <v>79</v>
      </c>
      <c r="C100" s="9">
        <f>TRUNC(((1+1/3)/12)/12,4)</f>
        <v>9.1999999999999998E-3</v>
      </c>
      <c r="D100" s="13">
        <f>TRUNC(($D$35+$D$79+$D$91)*C100,2)</f>
        <v>37.71</v>
      </c>
    </row>
    <row r="101" spans="1:6" x14ac:dyDescent="0.2">
      <c r="A101" s="32" t="s">
        <v>6</v>
      </c>
      <c r="B101" s="29" t="s">
        <v>80</v>
      </c>
      <c r="C101" s="9">
        <f>TRUNC(((2/30)/12),4)</f>
        <v>5.4999999999999997E-3</v>
      </c>
      <c r="D101" s="13">
        <f t="shared" ref="D101:D105" si="2">TRUNC(($D$35+$D$79+$D$91)*C101,2)</f>
        <v>22.54</v>
      </c>
    </row>
    <row r="102" spans="1:6" x14ac:dyDescent="0.2">
      <c r="A102" s="32" t="s">
        <v>8</v>
      </c>
      <c r="B102" s="29" t="s">
        <v>81</v>
      </c>
      <c r="C102" s="9">
        <f>TRUNC(((5/30)/12)*2%,4)</f>
        <v>2.0000000000000001E-4</v>
      </c>
      <c r="D102" s="13">
        <f t="shared" si="2"/>
        <v>0.81</v>
      </c>
    </row>
    <row r="103" spans="1:6" x14ac:dyDescent="0.2">
      <c r="A103" s="32" t="s">
        <v>10</v>
      </c>
      <c r="B103" s="29" t="s">
        <v>82</v>
      </c>
      <c r="C103" s="9">
        <f>TRUNC(((15/30)/12)*8%,4)</f>
        <v>3.3E-3</v>
      </c>
      <c r="D103" s="13">
        <f t="shared" si="2"/>
        <v>13.52</v>
      </c>
    </row>
    <row r="104" spans="1:6" x14ac:dyDescent="0.2">
      <c r="A104" s="32" t="s">
        <v>12</v>
      </c>
      <c r="B104" s="29" t="s">
        <v>83</v>
      </c>
      <c r="C104" s="9">
        <f>((1+1/3)/12)*3%*(4/12)</f>
        <v>1.1111111111111109E-3</v>
      </c>
      <c r="D104" s="13">
        <f t="shared" si="2"/>
        <v>4.55</v>
      </c>
    </row>
    <row r="105" spans="1:6" x14ac:dyDescent="0.2">
      <c r="A105" s="32" t="s">
        <v>32</v>
      </c>
      <c r="B105" s="29" t="s">
        <v>84</v>
      </c>
      <c r="C105" s="9"/>
      <c r="D105" s="13">
        <f t="shared" si="2"/>
        <v>0</v>
      </c>
    </row>
    <row r="106" spans="1:6" x14ac:dyDescent="0.2">
      <c r="A106" s="99" t="s">
        <v>37</v>
      </c>
      <c r="B106" s="99"/>
      <c r="C106" s="99"/>
      <c r="D106" s="19">
        <f>SUM(D100:D105)</f>
        <v>79.13</v>
      </c>
    </row>
    <row r="109" spans="1:6" x14ac:dyDescent="0.2">
      <c r="A109" s="111" t="s">
        <v>85</v>
      </c>
      <c r="B109" s="111"/>
      <c r="C109" s="111"/>
      <c r="D109" s="111"/>
    </row>
    <row r="110" spans="1:6" x14ac:dyDescent="0.2">
      <c r="A110" s="3"/>
    </row>
    <row r="111" spans="1:6" x14ac:dyDescent="0.2">
      <c r="A111" s="30" t="s">
        <v>52</v>
      </c>
      <c r="B111" s="110" t="s">
        <v>86</v>
      </c>
      <c r="C111" s="110"/>
      <c r="D111" s="30" t="s">
        <v>3</v>
      </c>
    </row>
    <row r="112" spans="1:6" x14ac:dyDescent="0.2">
      <c r="A112" s="32" t="s">
        <v>4</v>
      </c>
      <c r="B112" s="105" t="s">
        <v>87</v>
      </c>
      <c r="C112" s="106"/>
      <c r="D112" s="13">
        <f>((D35+D79+D91)/220)*22*0</f>
        <v>0</v>
      </c>
    </row>
    <row r="113" spans="1:4" x14ac:dyDescent="0.2">
      <c r="A113" s="99" t="s">
        <v>16</v>
      </c>
      <c r="B113" s="99"/>
      <c r="C113" s="99"/>
      <c r="D113" s="19">
        <f>SUM(D112)</f>
        <v>0</v>
      </c>
    </row>
    <row r="116" spans="1:4" x14ac:dyDescent="0.2">
      <c r="A116" s="111" t="s">
        <v>53</v>
      </c>
      <c r="B116" s="111"/>
      <c r="C116" s="111"/>
      <c r="D116" s="111"/>
    </row>
    <row r="117" spans="1:4" x14ac:dyDescent="0.2">
      <c r="A117" s="3"/>
    </row>
    <row r="118" spans="1:4" x14ac:dyDescent="0.2">
      <c r="A118" s="30">
        <v>4</v>
      </c>
      <c r="B118" s="99" t="s">
        <v>54</v>
      </c>
      <c r="C118" s="99"/>
      <c r="D118" s="30" t="s">
        <v>3</v>
      </c>
    </row>
    <row r="119" spans="1:4" x14ac:dyDescent="0.2">
      <c r="A119" s="32" t="s">
        <v>51</v>
      </c>
      <c r="B119" s="100" t="s">
        <v>78</v>
      </c>
      <c r="C119" s="100"/>
      <c r="D119" s="14">
        <f>D106</f>
        <v>79.13</v>
      </c>
    </row>
    <row r="120" spans="1:4" x14ac:dyDescent="0.2">
      <c r="A120" s="32" t="s">
        <v>52</v>
      </c>
      <c r="B120" s="100" t="s">
        <v>86</v>
      </c>
      <c r="C120" s="100"/>
      <c r="D120" s="14">
        <f>D113</f>
        <v>0</v>
      </c>
    </row>
    <row r="121" spans="1:4" x14ac:dyDescent="0.2">
      <c r="A121" s="99" t="s">
        <v>16</v>
      </c>
      <c r="B121" s="99"/>
      <c r="C121" s="99"/>
      <c r="D121" s="19">
        <f>SUM(D119:D120)</f>
        <v>79.13</v>
      </c>
    </row>
    <row r="124" spans="1:4" x14ac:dyDescent="0.2">
      <c r="A124" s="104" t="s">
        <v>55</v>
      </c>
      <c r="B124" s="104"/>
      <c r="C124" s="104"/>
      <c r="D124" s="104"/>
    </row>
    <row r="126" spans="1:4" x14ac:dyDescent="0.2">
      <c r="A126" s="30">
        <v>5</v>
      </c>
      <c r="B126" s="107" t="s">
        <v>56</v>
      </c>
      <c r="C126" s="107"/>
      <c r="D126" s="30" t="s">
        <v>3</v>
      </c>
    </row>
    <row r="127" spans="1:4" x14ac:dyDescent="0.2">
      <c r="A127" s="32" t="s">
        <v>4</v>
      </c>
      <c r="B127" s="29" t="s">
        <v>57</v>
      </c>
      <c r="C127" s="29"/>
      <c r="D127" s="13">
        <v>7.94</v>
      </c>
    </row>
    <row r="128" spans="1:4" x14ac:dyDescent="0.2">
      <c r="A128" s="32" t="s">
        <v>6</v>
      </c>
      <c r="B128" s="29" t="s">
        <v>58</v>
      </c>
      <c r="C128" s="29"/>
      <c r="D128" s="13">
        <v>0</v>
      </c>
    </row>
    <row r="129" spans="1:4" x14ac:dyDescent="0.2">
      <c r="A129" s="32" t="s">
        <v>8</v>
      </c>
      <c r="B129" s="29" t="s">
        <v>59</v>
      </c>
      <c r="C129" s="29"/>
      <c r="D129" s="13">
        <v>0</v>
      </c>
    </row>
    <row r="130" spans="1:4" x14ac:dyDescent="0.2">
      <c r="A130" s="32" t="s">
        <v>10</v>
      </c>
      <c r="B130" s="29" t="s">
        <v>106</v>
      </c>
      <c r="C130" s="29"/>
      <c r="D130" s="13">
        <v>0</v>
      </c>
    </row>
    <row r="131" spans="1:4" x14ac:dyDescent="0.2">
      <c r="A131" s="89" t="s">
        <v>12</v>
      </c>
      <c r="B131" s="88" t="s">
        <v>268</v>
      </c>
      <c r="C131" s="88"/>
      <c r="D131" s="13">
        <v>0.28000000000000003</v>
      </c>
    </row>
    <row r="132" spans="1:4" x14ac:dyDescent="0.2">
      <c r="A132" s="99" t="s">
        <v>37</v>
      </c>
      <c r="B132" s="99"/>
      <c r="C132" s="99"/>
      <c r="D132" s="20">
        <f>SUM(D127:D131)</f>
        <v>8.2200000000000006</v>
      </c>
    </row>
    <row r="135" spans="1:4" x14ac:dyDescent="0.2">
      <c r="A135" s="104" t="s">
        <v>60</v>
      </c>
      <c r="B135" s="104"/>
      <c r="C135" s="104"/>
      <c r="D135" s="104"/>
    </row>
    <row r="137" spans="1:4" x14ac:dyDescent="0.2">
      <c r="A137" s="30">
        <v>6</v>
      </c>
      <c r="B137" s="31" t="s">
        <v>61</v>
      </c>
      <c r="C137" s="30" t="s">
        <v>26</v>
      </c>
      <c r="D137" s="30" t="s">
        <v>3</v>
      </c>
    </row>
    <row r="138" spans="1:4" x14ac:dyDescent="0.2">
      <c r="A138" s="32" t="s">
        <v>4</v>
      </c>
      <c r="B138" s="29" t="s">
        <v>62</v>
      </c>
      <c r="C138" s="9">
        <v>0.05</v>
      </c>
      <c r="D138" s="14">
        <f>D158*C138</f>
        <v>209.36250000000001</v>
      </c>
    </row>
    <row r="139" spans="1:4" x14ac:dyDescent="0.2">
      <c r="A139" s="32" t="s">
        <v>6</v>
      </c>
      <c r="B139" s="29" t="s">
        <v>63</v>
      </c>
      <c r="C139" s="9">
        <v>0.06</v>
      </c>
      <c r="D139" s="13">
        <f>(D158+D138)*C139</f>
        <v>263.79674999999997</v>
      </c>
    </row>
    <row r="140" spans="1:4" x14ac:dyDescent="0.2">
      <c r="A140" s="32" t="s">
        <v>8</v>
      </c>
      <c r="B140" s="29" t="s">
        <v>64</v>
      </c>
      <c r="C140" s="12">
        <f>SUM(C141:C146)</f>
        <v>8.6499999999999994E-2</v>
      </c>
      <c r="D140" s="13">
        <f>(D158+D138+D139)*C140/(1-C140)</f>
        <v>441.29764655172414</v>
      </c>
    </row>
    <row r="141" spans="1:4" x14ac:dyDescent="0.2">
      <c r="A141" s="32"/>
      <c r="B141" s="29" t="s">
        <v>65</v>
      </c>
      <c r="C141" s="9"/>
      <c r="D141" s="14">
        <f>$D$160*C141</f>
        <v>0</v>
      </c>
    </row>
    <row r="142" spans="1:4" x14ac:dyDescent="0.2">
      <c r="A142" s="32"/>
      <c r="B142" s="29" t="s">
        <v>95</v>
      </c>
      <c r="C142" s="9">
        <v>6.4999999999999997E-3</v>
      </c>
      <c r="D142" s="14">
        <f t="shared" ref="D142:D146" si="3">$D$160*C142</f>
        <v>33.161114999999995</v>
      </c>
    </row>
    <row r="143" spans="1:4" x14ac:dyDescent="0.2">
      <c r="A143" s="32"/>
      <c r="B143" s="29" t="s">
        <v>96</v>
      </c>
      <c r="C143" s="9">
        <v>0.03</v>
      </c>
      <c r="D143" s="14">
        <f t="shared" si="3"/>
        <v>153.0513</v>
      </c>
    </row>
    <row r="144" spans="1:4" x14ac:dyDescent="0.2">
      <c r="A144" s="32"/>
      <c r="B144" s="29" t="s">
        <v>66</v>
      </c>
      <c r="C144" s="32"/>
      <c r="D144" s="14">
        <f t="shared" si="3"/>
        <v>0</v>
      </c>
    </row>
    <row r="145" spans="1:4" x14ac:dyDescent="0.2">
      <c r="A145" s="32"/>
      <c r="B145" s="29" t="s">
        <v>67</v>
      </c>
      <c r="C145" s="9"/>
      <c r="D145" s="14">
        <f t="shared" si="3"/>
        <v>0</v>
      </c>
    </row>
    <row r="146" spans="1:4" x14ac:dyDescent="0.2">
      <c r="A146" s="32"/>
      <c r="B146" s="29" t="s">
        <v>97</v>
      </c>
      <c r="C146" s="9">
        <v>0.05</v>
      </c>
      <c r="D146" s="14">
        <f t="shared" si="3"/>
        <v>255.08550000000002</v>
      </c>
    </row>
    <row r="147" spans="1:4" ht="13.5" x14ac:dyDescent="0.2">
      <c r="A147" s="108" t="s">
        <v>37</v>
      </c>
      <c r="B147" s="109"/>
      <c r="C147" s="21">
        <f>(1+C139)*(1+C138)/(1-C140)-1</f>
        <v>0.21839080459770144</v>
      </c>
      <c r="D147" s="19">
        <f>SUM(D138:D140)</f>
        <v>914.45689655172418</v>
      </c>
    </row>
    <row r="150" spans="1:4" x14ac:dyDescent="0.2">
      <c r="A150" s="104" t="s">
        <v>68</v>
      </c>
      <c r="B150" s="104"/>
      <c r="C150" s="104"/>
      <c r="D150" s="104"/>
    </row>
    <row r="152" spans="1:4" x14ac:dyDescent="0.2">
      <c r="A152" s="30"/>
      <c r="B152" s="99" t="s">
        <v>69</v>
      </c>
      <c r="C152" s="99"/>
      <c r="D152" s="30" t="s">
        <v>3</v>
      </c>
    </row>
    <row r="153" spans="1:4" x14ac:dyDescent="0.2">
      <c r="A153" s="30" t="s">
        <v>4</v>
      </c>
      <c r="B153" s="100" t="s">
        <v>1</v>
      </c>
      <c r="C153" s="100"/>
      <c r="D153" s="22">
        <f>D35</f>
        <v>1941.6</v>
      </c>
    </row>
    <row r="154" spans="1:4" x14ac:dyDescent="0.2">
      <c r="A154" s="30" t="s">
        <v>6</v>
      </c>
      <c r="B154" s="100" t="s">
        <v>17</v>
      </c>
      <c r="C154" s="100"/>
      <c r="D154" s="22">
        <f>D79</f>
        <v>2038.73</v>
      </c>
    </row>
    <row r="155" spans="1:4" x14ac:dyDescent="0.2">
      <c r="A155" s="30" t="s">
        <v>8</v>
      </c>
      <c r="B155" s="100" t="s">
        <v>45</v>
      </c>
      <c r="C155" s="100"/>
      <c r="D155" s="22">
        <f>D91</f>
        <v>119.57</v>
      </c>
    </row>
    <row r="156" spans="1:4" x14ac:dyDescent="0.2">
      <c r="A156" s="30" t="s">
        <v>10</v>
      </c>
      <c r="B156" s="100" t="s">
        <v>50</v>
      </c>
      <c r="C156" s="100"/>
      <c r="D156" s="22">
        <f>D121</f>
        <v>79.13</v>
      </c>
    </row>
    <row r="157" spans="1:4" x14ac:dyDescent="0.2">
      <c r="A157" s="30" t="s">
        <v>12</v>
      </c>
      <c r="B157" s="100" t="s">
        <v>55</v>
      </c>
      <c r="C157" s="100"/>
      <c r="D157" s="22">
        <f>D132</f>
        <v>8.2200000000000006</v>
      </c>
    </row>
    <row r="158" spans="1:4" x14ac:dyDescent="0.2">
      <c r="A158" s="99" t="s">
        <v>94</v>
      </c>
      <c r="B158" s="99"/>
      <c r="C158" s="99"/>
      <c r="D158" s="23">
        <f>SUM(D153:D157)</f>
        <v>4187.25</v>
      </c>
    </row>
    <row r="159" spans="1:4" x14ac:dyDescent="0.2">
      <c r="A159" s="30" t="s">
        <v>32</v>
      </c>
      <c r="B159" s="100" t="s">
        <v>70</v>
      </c>
      <c r="C159" s="100"/>
      <c r="D159" s="24">
        <f>D147</f>
        <v>914.45689655172418</v>
      </c>
    </row>
    <row r="160" spans="1:4" x14ac:dyDescent="0.2">
      <c r="A160" s="99" t="s">
        <v>71</v>
      </c>
      <c r="B160" s="99"/>
      <c r="C160" s="99"/>
      <c r="D160" s="23">
        <f>ROUND(SUM(D158:D159),2)</f>
        <v>5101.71</v>
      </c>
    </row>
  </sheetData>
  <mergeCells count="75">
    <mergeCell ref="B156:C156"/>
    <mergeCell ref="B157:C157"/>
    <mergeCell ref="A158:C158"/>
    <mergeCell ref="B159:C159"/>
    <mergeCell ref="A160:C160"/>
    <mergeCell ref="B155:C155"/>
    <mergeCell ref="B120:C120"/>
    <mergeCell ref="A121:C121"/>
    <mergeCell ref="A124:D124"/>
    <mergeCell ref="B126:C126"/>
    <mergeCell ref="A132:C132"/>
    <mergeCell ref="A135:D135"/>
    <mergeCell ref="A147:B147"/>
    <mergeCell ref="A150:D150"/>
    <mergeCell ref="B152:C152"/>
    <mergeCell ref="B153:C153"/>
    <mergeCell ref="B154:C154"/>
    <mergeCell ref="B119:C119"/>
    <mergeCell ref="A91:C91"/>
    <mergeCell ref="A94:D94"/>
    <mergeCell ref="A97:D97"/>
    <mergeCell ref="B99:C99"/>
    <mergeCell ref="A106:C106"/>
    <mergeCell ref="A109:D109"/>
    <mergeCell ref="B111:C111"/>
    <mergeCell ref="B112:C112"/>
    <mergeCell ref="A113:C113"/>
    <mergeCell ref="A116:D116"/>
    <mergeCell ref="B118:C118"/>
    <mergeCell ref="B84:C84"/>
    <mergeCell ref="B67:C67"/>
    <mergeCell ref="B68:C68"/>
    <mergeCell ref="B69:C69"/>
    <mergeCell ref="A70:C70"/>
    <mergeCell ref="A73:D73"/>
    <mergeCell ref="B75:C75"/>
    <mergeCell ref="B76:C76"/>
    <mergeCell ref="B77:C77"/>
    <mergeCell ref="B78:C78"/>
    <mergeCell ref="A79:C79"/>
    <mergeCell ref="A82:D82"/>
    <mergeCell ref="B66:C66"/>
    <mergeCell ref="B34:C34"/>
    <mergeCell ref="A35:C35"/>
    <mergeCell ref="A38:D38"/>
    <mergeCell ref="A40:D40"/>
    <mergeCell ref="B42:C42"/>
    <mergeCell ref="A45:B45"/>
    <mergeCell ref="A48:D48"/>
    <mergeCell ref="A59:B59"/>
    <mergeCell ref="A62:D62"/>
    <mergeCell ref="B64:C64"/>
    <mergeCell ref="B65:C65"/>
    <mergeCell ref="B33:C33"/>
    <mergeCell ref="C20:D20"/>
    <mergeCell ref="C21:D21"/>
    <mergeCell ref="C22:D22"/>
    <mergeCell ref="C23:D23"/>
    <mergeCell ref="A25:D25"/>
    <mergeCell ref="B27:C27"/>
    <mergeCell ref="B28:C28"/>
    <mergeCell ref="B29:C29"/>
    <mergeCell ref="B30:C30"/>
    <mergeCell ref="B31:C31"/>
    <mergeCell ref="B32:C32"/>
    <mergeCell ref="C19:D19"/>
    <mergeCell ref="A1:D1"/>
    <mergeCell ref="A12:D12"/>
    <mergeCell ref="A14:B14"/>
    <mergeCell ref="A15:B15"/>
    <mergeCell ref="A17:D17"/>
    <mergeCell ref="A3:D3"/>
    <mergeCell ref="A5:D5"/>
    <mergeCell ref="B9:C9"/>
    <mergeCell ref="B10:C10"/>
  </mergeCells>
  <pageMargins left="0.51181102362204722" right="0.51181102362204722" top="0.78740157480314965" bottom="0.78740157480314965" header="0.31496062992125984" footer="0.31496062992125984"/>
  <pageSetup paperSize="9" scale="84" fitToHeight="0" orientation="portrait" r:id="rId1"/>
  <headerFooter>
    <oddHeader>&amp;C&amp;G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60"/>
  <sheetViews>
    <sheetView zoomScale="115" zoomScaleNormal="115" workbookViewId="0">
      <selection activeCell="D132" sqref="D132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113" t="s">
        <v>0</v>
      </c>
      <c r="B1" s="113"/>
      <c r="C1" s="113"/>
      <c r="D1" s="113"/>
    </row>
    <row r="2" spans="1:4" ht="15.75" x14ac:dyDescent="0.25">
      <c r="A2" s="26"/>
      <c r="B2" s="26"/>
      <c r="C2" s="26"/>
      <c r="D2" s="26"/>
    </row>
    <row r="3" spans="1:4" x14ac:dyDescent="0.2">
      <c r="A3" s="90" t="s">
        <v>255</v>
      </c>
      <c r="B3" s="90"/>
      <c r="C3" s="90"/>
      <c r="D3" s="90"/>
    </row>
    <row r="4" spans="1:4" x14ac:dyDescent="0.2">
      <c r="A4" s="2"/>
      <c r="B4" s="2"/>
      <c r="C4" s="2"/>
      <c r="D4" s="2"/>
    </row>
    <row r="5" spans="1:4" x14ac:dyDescent="0.2">
      <c r="A5" s="91" t="s">
        <v>256</v>
      </c>
      <c r="B5" s="92"/>
      <c r="C5" s="92"/>
      <c r="D5" s="93"/>
    </row>
    <row r="6" spans="1:4" x14ac:dyDescent="0.2">
      <c r="A6" s="83" t="s">
        <v>4</v>
      </c>
      <c r="B6" s="84" t="s">
        <v>257</v>
      </c>
      <c r="C6" s="85"/>
      <c r="D6" s="86" t="s">
        <v>262</v>
      </c>
    </row>
    <row r="7" spans="1:4" x14ac:dyDescent="0.2">
      <c r="A7" s="83" t="s">
        <v>6</v>
      </c>
      <c r="B7" s="84" t="s">
        <v>258</v>
      </c>
      <c r="C7" s="85"/>
      <c r="D7" s="86" t="s">
        <v>263</v>
      </c>
    </row>
    <row r="8" spans="1:4" x14ac:dyDescent="0.2">
      <c r="A8" s="83" t="s">
        <v>8</v>
      </c>
      <c r="B8" s="84" t="s">
        <v>259</v>
      </c>
      <c r="C8" s="85"/>
      <c r="D8" s="87">
        <v>45785</v>
      </c>
    </row>
    <row r="9" spans="1:4" x14ac:dyDescent="0.2">
      <c r="A9" s="83" t="s">
        <v>10</v>
      </c>
      <c r="B9" s="94" t="s">
        <v>264</v>
      </c>
      <c r="C9" s="95"/>
      <c r="D9" s="86" t="s">
        <v>260</v>
      </c>
    </row>
    <row r="10" spans="1:4" x14ac:dyDescent="0.2">
      <c r="A10" s="83" t="s">
        <v>12</v>
      </c>
      <c r="B10" s="94" t="s">
        <v>265</v>
      </c>
      <c r="C10" s="95"/>
      <c r="D10" s="86" t="s">
        <v>261</v>
      </c>
    </row>
    <row r="12" spans="1:4" x14ac:dyDescent="0.2">
      <c r="A12" s="103" t="s">
        <v>88</v>
      </c>
      <c r="B12" s="103"/>
      <c r="C12" s="103"/>
      <c r="D12" s="103"/>
    </row>
    <row r="13" spans="1:4" x14ac:dyDescent="0.2">
      <c r="A13" s="2"/>
      <c r="B13" s="2"/>
      <c r="C13" s="2"/>
      <c r="D13" s="2"/>
    </row>
    <row r="14" spans="1:4" ht="38.25" x14ac:dyDescent="0.2">
      <c r="A14" s="115" t="s">
        <v>89</v>
      </c>
      <c r="B14" s="115"/>
      <c r="C14" s="32" t="s">
        <v>90</v>
      </c>
      <c r="D14" s="27" t="s">
        <v>91</v>
      </c>
    </row>
    <row r="15" spans="1:4" x14ac:dyDescent="0.2">
      <c r="A15" s="96" t="s">
        <v>109</v>
      </c>
      <c r="B15" s="96"/>
      <c r="C15" s="33" t="s">
        <v>101</v>
      </c>
      <c r="D15" s="33">
        <v>1</v>
      </c>
    </row>
    <row r="17" spans="1:4" x14ac:dyDescent="0.2">
      <c r="A17" s="103" t="s">
        <v>72</v>
      </c>
      <c r="B17" s="103"/>
      <c r="C17" s="103"/>
      <c r="D17" s="103"/>
    </row>
    <row r="18" spans="1:4" x14ac:dyDescent="0.2">
      <c r="A18" s="2"/>
      <c r="B18" s="2"/>
      <c r="C18" s="2"/>
      <c r="D18" s="2"/>
    </row>
    <row r="19" spans="1:4" x14ac:dyDescent="0.2">
      <c r="A19" s="5">
        <v>1</v>
      </c>
      <c r="B19" s="5" t="s">
        <v>73</v>
      </c>
      <c r="C19" s="97" t="s">
        <v>109</v>
      </c>
      <c r="D19" s="98"/>
    </row>
    <row r="20" spans="1:4" x14ac:dyDescent="0.2">
      <c r="A20" s="5">
        <v>2</v>
      </c>
      <c r="B20" s="5" t="s">
        <v>92</v>
      </c>
      <c r="C20" s="97" t="s">
        <v>108</v>
      </c>
      <c r="D20" s="98"/>
    </row>
    <row r="21" spans="1:4" x14ac:dyDescent="0.2">
      <c r="A21" s="5">
        <v>3</v>
      </c>
      <c r="B21" s="5" t="s">
        <v>74</v>
      </c>
      <c r="C21" s="101">
        <v>2209.06</v>
      </c>
      <c r="D21" s="102"/>
    </row>
    <row r="22" spans="1:4" x14ac:dyDescent="0.2">
      <c r="A22" s="5">
        <v>4</v>
      </c>
      <c r="B22" s="5" t="s">
        <v>75</v>
      </c>
      <c r="C22" s="97"/>
      <c r="D22" s="98"/>
    </row>
    <row r="23" spans="1:4" x14ac:dyDescent="0.2">
      <c r="A23" s="5">
        <v>5</v>
      </c>
      <c r="B23" s="5" t="s">
        <v>76</v>
      </c>
      <c r="C23" s="97"/>
      <c r="D23" s="98"/>
    </row>
    <row r="25" spans="1:4" x14ac:dyDescent="0.2">
      <c r="A25" s="103" t="s">
        <v>1</v>
      </c>
      <c r="B25" s="103"/>
      <c r="C25" s="103"/>
      <c r="D25" s="103"/>
    </row>
    <row r="27" spans="1:4" x14ac:dyDescent="0.2">
      <c r="A27" s="30">
        <v>1</v>
      </c>
      <c r="B27" s="99" t="s">
        <v>2</v>
      </c>
      <c r="C27" s="99"/>
      <c r="D27" s="30" t="s">
        <v>3</v>
      </c>
    </row>
    <row r="28" spans="1:4" x14ac:dyDescent="0.2">
      <c r="A28" s="32" t="s">
        <v>4</v>
      </c>
      <c r="B28" s="100" t="s">
        <v>5</v>
      </c>
      <c r="C28" s="100"/>
      <c r="D28" s="13">
        <v>2209.06</v>
      </c>
    </row>
    <row r="29" spans="1:4" x14ac:dyDescent="0.2">
      <c r="A29" s="32" t="s">
        <v>6</v>
      </c>
      <c r="B29" s="100" t="s">
        <v>7</v>
      </c>
      <c r="C29" s="100"/>
      <c r="D29" s="13"/>
    </row>
    <row r="30" spans="1:4" x14ac:dyDescent="0.2">
      <c r="A30" s="32" t="s">
        <v>8</v>
      </c>
      <c r="B30" s="100" t="s">
        <v>9</v>
      </c>
      <c r="C30" s="100"/>
      <c r="D30" s="13"/>
    </row>
    <row r="31" spans="1:4" x14ac:dyDescent="0.2">
      <c r="A31" s="32" t="s">
        <v>10</v>
      </c>
      <c r="B31" s="100" t="s">
        <v>11</v>
      </c>
      <c r="C31" s="100"/>
      <c r="D31" s="13"/>
    </row>
    <row r="32" spans="1:4" x14ac:dyDescent="0.2">
      <c r="A32" s="32" t="s">
        <v>12</v>
      </c>
      <c r="B32" s="100" t="s">
        <v>13</v>
      </c>
      <c r="C32" s="100"/>
      <c r="D32" s="13"/>
    </row>
    <row r="33" spans="1:4" x14ac:dyDescent="0.2">
      <c r="A33" s="32"/>
      <c r="B33" s="100"/>
      <c r="C33" s="100"/>
      <c r="D33" s="13"/>
    </row>
    <row r="34" spans="1:4" x14ac:dyDescent="0.2">
      <c r="A34" s="32" t="s">
        <v>14</v>
      </c>
      <c r="B34" s="100" t="s">
        <v>15</v>
      </c>
      <c r="C34" s="100"/>
      <c r="D34" s="13"/>
    </row>
    <row r="35" spans="1:4" x14ac:dyDescent="0.2">
      <c r="A35" s="99" t="s">
        <v>16</v>
      </c>
      <c r="B35" s="99"/>
      <c r="C35" s="99"/>
      <c r="D35" s="20">
        <f>SUM(D28:D34)</f>
        <v>2209.06</v>
      </c>
    </row>
    <row r="38" spans="1:4" x14ac:dyDescent="0.2">
      <c r="A38" s="104" t="s">
        <v>17</v>
      </c>
      <c r="B38" s="104"/>
      <c r="C38" s="104"/>
      <c r="D38" s="104"/>
    </row>
    <row r="39" spans="1:4" x14ac:dyDescent="0.2">
      <c r="A39" s="3"/>
    </row>
    <row r="40" spans="1:4" x14ac:dyDescent="0.2">
      <c r="A40" s="111" t="s">
        <v>18</v>
      </c>
      <c r="B40" s="111"/>
      <c r="C40" s="111"/>
      <c r="D40" s="111"/>
    </row>
    <row r="42" spans="1:4" x14ac:dyDescent="0.2">
      <c r="A42" s="30" t="s">
        <v>19</v>
      </c>
      <c r="B42" s="99" t="s">
        <v>20</v>
      </c>
      <c r="C42" s="99"/>
      <c r="D42" s="30" t="s">
        <v>3</v>
      </c>
    </row>
    <row r="43" spans="1:4" x14ac:dyDescent="0.2">
      <c r="A43" s="32" t="s">
        <v>4</v>
      </c>
      <c r="B43" s="29" t="s">
        <v>21</v>
      </c>
      <c r="C43" s="12">
        <f>TRUNC(1/12,4)</f>
        <v>8.3299999999999999E-2</v>
      </c>
      <c r="D43" s="13">
        <f>TRUNC($D$35*C43,2)</f>
        <v>184.01</v>
      </c>
    </row>
    <row r="44" spans="1:4" x14ac:dyDescent="0.2">
      <c r="A44" s="32" t="s">
        <v>6</v>
      </c>
      <c r="B44" s="29" t="s">
        <v>22</v>
      </c>
      <c r="C44" s="12">
        <f>TRUNC(((1+1/3)/12),4)</f>
        <v>0.1111</v>
      </c>
      <c r="D44" s="13">
        <f>TRUNC($D$35*C44,2)</f>
        <v>245.42</v>
      </c>
    </row>
    <row r="45" spans="1:4" x14ac:dyDescent="0.2">
      <c r="A45" s="99" t="s">
        <v>16</v>
      </c>
      <c r="B45" s="99"/>
      <c r="C45" s="28">
        <f>SUM(C43:C44)</f>
        <v>0.19440000000000002</v>
      </c>
      <c r="D45" s="19">
        <f>SUM(D43:D44)</f>
        <v>429.42999999999995</v>
      </c>
    </row>
    <row r="48" spans="1:4" x14ac:dyDescent="0.2">
      <c r="A48" s="114" t="s">
        <v>23</v>
      </c>
      <c r="B48" s="114"/>
      <c r="C48" s="114"/>
      <c r="D48" s="114"/>
    </row>
    <row r="50" spans="1:4" x14ac:dyDescent="0.2">
      <c r="A50" s="30" t="s">
        <v>24</v>
      </c>
      <c r="B50" s="30" t="s">
        <v>25</v>
      </c>
      <c r="C50" s="30" t="s">
        <v>26</v>
      </c>
      <c r="D50" s="30" t="s">
        <v>3</v>
      </c>
    </row>
    <row r="51" spans="1:4" x14ac:dyDescent="0.2">
      <c r="A51" s="32" t="s">
        <v>4</v>
      </c>
      <c r="B51" s="29" t="s">
        <v>27</v>
      </c>
      <c r="C51" s="9">
        <v>0.2</v>
      </c>
      <c r="D51" s="13">
        <f>TRUNC(($D$35+$D$45)*C51,2)</f>
        <v>527.69000000000005</v>
      </c>
    </row>
    <row r="52" spans="1:4" x14ac:dyDescent="0.2">
      <c r="A52" s="32" t="s">
        <v>6</v>
      </c>
      <c r="B52" s="29" t="s">
        <v>28</v>
      </c>
      <c r="C52" s="9">
        <v>2.5000000000000001E-2</v>
      </c>
      <c r="D52" s="13">
        <f t="shared" ref="D52:D58" si="0">TRUNC(($D$35+$D$45)*C52,2)</f>
        <v>65.959999999999994</v>
      </c>
    </row>
    <row r="53" spans="1:4" x14ac:dyDescent="0.2">
      <c r="A53" s="32" t="s">
        <v>8</v>
      </c>
      <c r="B53" s="29" t="s">
        <v>29</v>
      </c>
      <c r="C53" s="16">
        <v>0.03</v>
      </c>
      <c r="D53" s="13">
        <f t="shared" si="0"/>
        <v>79.150000000000006</v>
      </c>
    </row>
    <row r="54" spans="1:4" x14ac:dyDescent="0.2">
      <c r="A54" s="32" t="s">
        <v>10</v>
      </c>
      <c r="B54" s="29" t="s">
        <v>30</v>
      </c>
      <c r="C54" s="9">
        <v>1.4999999999999999E-2</v>
      </c>
      <c r="D54" s="13">
        <f t="shared" si="0"/>
        <v>39.57</v>
      </c>
    </row>
    <row r="55" spans="1:4" x14ac:dyDescent="0.2">
      <c r="A55" s="32" t="s">
        <v>12</v>
      </c>
      <c r="B55" s="29" t="s">
        <v>31</v>
      </c>
      <c r="C55" s="9">
        <v>0.01</v>
      </c>
      <c r="D55" s="13">
        <f t="shared" si="0"/>
        <v>26.38</v>
      </c>
    </row>
    <row r="56" spans="1:4" x14ac:dyDescent="0.2">
      <c r="A56" s="32" t="s">
        <v>32</v>
      </c>
      <c r="B56" s="29" t="s">
        <v>33</v>
      </c>
      <c r="C56" s="9">
        <v>6.0000000000000001E-3</v>
      </c>
      <c r="D56" s="13">
        <f t="shared" si="0"/>
        <v>15.83</v>
      </c>
    </row>
    <row r="57" spans="1:4" x14ac:dyDescent="0.2">
      <c r="A57" s="32" t="s">
        <v>14</v>
      </c>
      <c r="B57" s="29" t="s">
        <v>34</v>
      </c>
      <c r="C57" s="9">
        <v>2E-3</v>
      </c>
      <c r="D57" s="13">
        <f t="shared" si="0"/>
        <v>5.27</v>
      </c>
    </row>
    <row r="58" spans="1:4" x14ac:dyDescent="0.2">
      <c r="A58" s="32" t="s">
        <v>35</v>
      </c>
      <c r="B58" s="29" t="s">
        <v>36</v>
      </c>
      <c r="C58" s="9">
        <v>0.08</v>
      </c>
      <c r="D58" s="13">
        <f t="shared" si="0"/>
        <v>211.07</v>
      </c>
    </row>
    <row r="59" spans="1:4" x14ac:dyDescent="0.2">
      <c r="A59" s="99" t="s">
        <v>37</v>
      </c>
      <c r="B59" s="99"/>
      <c r="C59" s="15">
        <f>SUM(C51:C58)</f>
        <v>0.36800000000000005</v>
      </c>
      <c r="D59" s="19">
        <f>SUM(D51:D58)</f>
        <v>970.92000000000007</v>
      </c>
    </row>
    <row r="62" spans="1:4" x14ac:dyDescent="0.2">
      <c r="A62" s="111" t="s">
        <v>38</v>
      </c>
      <c r="B62" s="111"/>
      <c r="C62" s="111"/>
      <c r="D62" s="111"/>
    </row>
    <row r="64" spans="1:4" x14ac:dyDescent="0.2">
      <c r="A64" s="30" t="s">
        <v>39</v>
      </c>
      <c r="B64" s="110" t="s">
        <v>40</v>
      </c>
      <c r="C64" s="110"/>
      <c r="D64" s="30" t="s">
        <v>3</v>
      </c>
    </row>
    <row r="65" spans="1:5" x14ac:dyDescent="0.2">
      <c r="A65" s="32" t="s">
        <v>4</v>
      </c>
      <c r="B65" s="100" t="s">
        <v>41</v>
      </c>
      <c r="C65" s="100"/>
      <c r="D65" s="13">
        <f>IF((22*2*5.6)-(D28*0.06)&gt;0,(22*2*5.6)-(D28*0.06),0)</f>
        <v>113.85639999999998</v>
      </c>
    </row>
    <row r="66" spans="1:5" x14ac:dyDescent="0.2">
      <c r="A66" s="32" t="s">
        <v>6</v>
      </c>
      <c r="B66" s="100" t="s">
        <v>42</v>
      </c>
      <c r="C66" s="100"/>
      <c r="D66" s="13">
        <f>20*0.8*22</f>
        <v>352</v>
      </c>
    </row>
    <row r="67" spans="1:5" x14ac:dyDescent="0.2">
      <c r="A67" s="32" t="s">
        <v>8</v>
      </c>
      <c r="B67" s="100" t="s">
        <v>103</v>
      </c>
      <c r="C67" s="100"/>
      <c r="D67" s="13">
        <v>280</v>
      </c>
    </row>
    <row r="68" spans="1:5" x14ac:dyDescent="0.2">
      <c r="A68" s="32" t="s">
        <v>10</v>
      </c>
      <c r="B68" s="100" t="s">
        <v>104</v>
      </c>
      <c r="C68" s="100"/>
      <c r="D68" s="13">
        <v>23</v>
      </c>
    </row>
    <row r="69" spans="1:5" x14ac:dyDescent="0.2">
      <c r="A69" s="32" t="s">
        <v>12</v>
      </c>
      <c r="B69" s="100" t="s">
        <v>105</v>
      </c>
      <c r="C69" s="100"/>
      <c r="D69" s="13">
        <v>4.8</v>
      </c>
    </row>
    <row r="70" spans="1:5" x14ac:dyDescent="0.2">
      <c r="A70" s="99" t="s">
        <v>16</v>
      </c>
      <c r="B70" s="99"/>
      <c r="C70" s="99"/>
      <c r="D70" s="19">
        <f>SUM(D65:D69)</f>
        <v>773.65639999999996</v>
      </c>
    </row>
    <row r="71" spans="1:5" x14ac:dyDescent="0.2">
      <c r="E71" s="18"/>
    </row>
    <row r="73" spans="1:5" x14ac:dyDescent="0.2">
      <c r="A73" s="111" t="s">
        <v>43</v>
      </c>
      <c r="B73" s="111"/>
      <c r="C73" s="111"/>
      <c r="D73" s="111"/>
      <c r="E73" s="17"/>
    </row>
    <row r="74" spans="1:5" ht="12.75" customHeight="1" x14ac:dyDescent="0.2">
      <c r="E74" s="18"/>
    </row>
    <row r="75" spans="1:5" x14ac:dyDescent="0.2">
      <c r="A75" s="30">
        <v>2</v>
      </c>
      <c r="B75" s="110" t="s">
        <v>44</v>
      </c>
      <c r="C75" s="110"/>
      <c r="D75" s="30" t="s">
        <v>3</v>
      </c>
    </row>
    <row r="76" spans="1:5" x14ac:dyDescent="0.2">
      <c r="A76" s="32" t="s">
        <v>19</v>
      </c>
      <c r="B76" s="100" t="s">
        <v>20</v>
      </c>
      <c r="C76" s="100"/>
      <c r="D76" s="14">
        <f>D45</f>
        <v>429.42999999999995</v>
      </c>
    </row>
    <row r="77" spans="1:5" x14ac:dyDescent="0.2">
      <c r="A77" s="32" t="s">
        <v>24</v>
      </c>
      <c r="B77" s="100" t="s">
        <v>25</v>
      </c>
      <c r="C77" s="100"/>
      <c r="D77" s="14">
        <f>D59</f>
        <v>970.92000000000007</v>
      </c>
    </row>
    <row r="78" spans="1:5" x14ac:dyDescent="0.2">
      <c r="A78" s="32" t="s">
        <v>39</v>
      </c>
      <c r="B78" s="100" t="s">
        <v>40</v>
      </c>
      <c r="C78" s="100"/>
      <c r="D78" s="14">
        <f>D70</f>
        <v>773.65639999999996</v>
      </c>
    </row>
    <row r="79" spans="1:5" x14ac:dyDescent="0.2">
      <c r="A79" s="99" t="s">
        <v>16</v>
      </c>
      <c r="B79" s="99"/>
      <c r="C79" s="99"/>
      <c r="D79" s="19">
        <f>SUM(D76:D78)</f>
        <v>2174.0063999999998</v>
      </c>
    </row>
    <row r="80" spans="1:5" x14ac:dyDescent="0.2">
      <c r="A80" s="4"/>
    </row>
    <row r="82" spans="1:4" x14ac:dyDescent="0.2">
      <c r="A82" s="104" t="s">
        <v>45</v>
      </c>
      <c r="B82" s="104"/>
      <c r="C82" s="104"/>
      <c r="D82" s="104"/>
    </row>
    <row r="84" spans="1:4" x14ac:dyDescent="0.2">
      <c r="A84" s="30">
        <v>3</v>
      </c>
      <c r="B84" s="110" t="s">
        <v>46</v>
      </c>
      <c r="C84" s="110"/>
      <c r="D84" s="30" t="s">
        <v>3</v>
      </c>
    </row>
    <row r="85" spans="1:4" x14ac:dyDescent="0.2">
      <c r="A85" s="32" t="s">
        <v>4</v>
      </c>
      <c r="B85" s="10" t="s">
        <v>47</v>
      </c>
      <c r="C85" s="9">
        <f>TRUNC(((1/12)*5%),4)</f>
        <v>4.1000000000000003E-3</v>
      </c>
      <c r="D85" s="13">
        <f>TRUNC($D$35*C85,2)</f>
        <v>9.0500000000000007</v>
      </c>
    </row>
    <row r="86" spans="1:4" x14ac:dyDescent="0.2">
      <c r="A86" s="32" t="s">
        <v>6</v>
      </c>
      <c r="B86" s="10" t="s">
        <v>48</v>
      </c>
      <c r="C86" s="9">
        <v>0.08</v>
      </c>
      <c r="D86" s="13">
        <f>TRUNC(D85*C86,2)</f>
        <v>0.72</v>
      </c>
    </row>
    <row r="87" spans="1:4" x14ac:dyDescent="0.2">
      <c r="A87" s="32" t="s">
        <v>8</v>
      </c>
      <c r="B87" s="10" t="s">
        <v>98</v>
      </c>
      <c r="C87" s="9">
        <f>TRUNC(8%*5%*40%,4)</f>
        <v>1.6000000000000001E-3</v>
      </c>
      <c r="D87" s="13">
        <f>TRUNC($D$35*C87,2)</f>
        <v>3.53</v>
      </c>
    </row>
    <row r="88" spans="1:4" x14ac:dyDescent="0.2">
      <c r="A88" s="32" t="s">
        <v>10</v>
      </c>
      <c r="B88" s="10" t="s">
        <v>49</v>
      </c>
      <c r="C88" s="9">
        <f>TRUNC(((7/30)/12)*95%,4)</f>
        <v>1.84E-2</v>
      </c>
      <c r="D88" s="13">
        <f>TRUNC($D$35*C88,2)</f>
        <v>40.64</v>
      </c>
    </row>
    <row r="89" spans="1:4" ht="25.5" x14ac:dyDescent="0.2">
      <c r="A89" s="32" t="s">
        <v>12</v>
      </c>
      <c r="B89" s="10" t="s">
        <v>93</v>
      </c>
      <c r="C89" s="9">
        <f>C59</f>
        <v>0.36800000000000005</v>
      </c>
      <c r="D89" s="13">
        <f>TRUNC(D88*C89,2)</f>
        <v>14.95</v>
      </c>
    </row>
    <row r="90" spans="1:4" x14ac:dyDescent="0.2">
      <c r="A90" s="32" t="s">
        <v>32</v>
      </c>
      <c r="B90" s="10" t="s">
        <v>99</v>
      </c>
      <c r="C90" s="9">
        <f>TRUNC(8%*95%*40%,4)</f>
        <v>3.04E-2</v>
      </c>
      <c r="D90" s="13">
        <f t="shared" ref="D90" si="1">TRUNC($D$35*C90,2)</f>
        <v>67.150000000000006</v>
      </c>
    </row>
    <row r="91" spans="1:4" x14ac:dyDescent="0.2">
      <c r="A91" s="108" t="s">
        <v>16</v>
      </c>
      <c r="B91" s="109"/>
      <c r="C91" s="112"/>
      <c r="D91" s="19">
        <f>SUM(D85:D90)</f>
        <v>136.04000000000002</v>
      </c>
    </row>
    <row r="94" spans="1:4" x14ac:dyDescent="0.2">
      <c r="A94" s="104" t="s">
        <v>50</v>
      </c>
      <c r="B94" s="104"/>
      <c r="C94" s="104"/>
      <c r="D94" s="104"/>
    </row>
    <row r="97" spans="1:6" x14ac:dyDescent="0.2">
      <c r="A97" s="111" t="s">
        <v>77</v>
      </c>
      <c r="B97" s="111"/>
      <c r="C97" s="111"/>
      <c r="D97" s="111"/>
      <c r="E97" s="17"/>
      <c r="F97" s="17"/>
    </row>
    <row r="98" spans="1:6" x14ac:dyDescent="0.2">
      <c r="A98" s="3"/>
    </row>
    <row r="99" spans="1:6" x14ac:dyDescent="0.2">
      <c r="A99" s="30" t="s">
        <v>51</v>
      </c>
      <c r="B99" s="110" t="s">
        <v>78</v>
      </c>
      <c r="C99" s="110"/>
      <c r="D99" s="30" t="s">
        <v>3</v>
      </c>
    </row>
    <row r="100" spans="1:6" x14ac:dyDescent="0.2">
      <c r="A100" s="32" t="s">
        <v>4</v>
      </c>
      <c r="B100" s="29" t="s">
        <v>79</v>
      </c>
      <c r="C100" s="9">
        <f>TRUNC(((1+1/3)/12)/12,4)</f>
        <v>9.1999999999999998E-3</v>
      </c>
      <c r="D100" s="13">
        <f>TRUNC(($D$35+$D$79+$D$91)*C100,2)</f>
        <v>41.57</v>
      </c>
    </row>
    <row r="101" spans="1:6" x14ac:dyDescent="0.2">
      <c r="A101" s="32" t="s">
        <v>6</v>
      </c>
      <c r="B101" s="29" t="s">
        <v>80</v>
      </c>
      <c r="C101" s="9">
        <f>TRUNC(((2/30)/12),4)</f>
        <v>5.4999999999999997E-3</v>
      </c>
      <c r="D101" s="13">
        <f t="shared" ref="D101:D105" si="2">TRUNC(($D$35+$D$79+$D$91)*C101,2)</f>
        <v>24.85</v>
      </c>
    </row>
    <row r="102" spans="1:6" x14ac:dyDescent="0.2">
      <c r="A102" s="32" t="s">
        <v>8</v>
      </c>
      <c r="B102" s="29" t="s">
        <v>81</v>
      </c>
      <c r="C102" s="9">
        <f>TRUNC(((5/30)/12)*2%,4)</f>
        <v>2.0000000000000001E-4</v>
      </c>
      <c r="D102" s="13">
        <f t="shared" si="2"/>
        <v>0.9</v>
      </c>
    </row>
    <row r="103" spans="1:6" x14ac:dyDescent="0.2">
      <c r="A103" s="32" t="s">
        <v>10</v>
      </c>
      <c r="B103" s="29" t="s">
        <v>82</v>
      </c>
      <c r="C103" s="9">
        <f>TRUNC(((15/30)/12)*8%,4)</f>
        <v>3.3E-3</v>
      </c>
      <c r="D103" s="13">
        <f t="shared" si="2"/>
        <v>14.91</v>
      </c>
    </row>
    <row r="104" spans="1:6" x14ac:dyDescent="0.2">
      <c r="A104" s="32" t="s">
        <v>12</v>
      </c>
      <c r="B104" s="29" t="s">
        <v>83</v>
      </c>
      <c r="C104" s="9">
        <f>((1+1/3)/12)*3%*(4/12)</f>
        <v>1.1111111111111109E-3</v>
      </c>
      <c r="D104" s="13">
        <f t="shared" si="2"/>
        <v>5.0199999999999996</v>
      </c>
    </row>
    <row r="105" spans="1:6" x14ac:dyDescent="0.2">
      <c r="A105" s="32" t="s">
        <v>32</v>
      </c>
      <c r="B105" s="29" t="s">
        <v>84</v>
      </c>
      <c r="C105" s="9"/>
      <c r="D105" s="13">
        <f t="shared" si="2"/>
        <v>0</v>
      </c>
    </row>
    <row r="106" spans="1:6" x14ac:dyDescent="0.2">
      <c r="A106" s="99" t="s">
        <v>37</v>
      </c>
      <c r="B106" s="99"/>
      <c r="C106" s="99"/>
      <c r="D106" s="19">
        <f>SUM(D100:D105)</f>
        <v>87.25</v>
      </c>
    </row>
    <row r="109" spans="1:6" x14ac:dyDescent="0.2">
      <c r="A109" s="111" t="s">
        <v>85</v>
      </c>
      <c r="B109" s="111"/>
      <c r="C109" s="111"/>
      <c r="D109" s="111"/>
    </row>
    <row r="110" spans="1:6" x14ac:dyDescent="0.2">
      <c r="A110" s="3"/>
    </row>
    <row r="111" spans="1:6" x14ac:dyDescent="0.2">
      <c r="A111" s="30" t="s">
        <v>52</v>
      </c>
      <c r="B111" s="110" t="s">
        <v>86</v>
      </c>
      <c r="C111" s="110"/>
      <c r="D111" s="30" t="s">
        <v>3</v>
      </c>
    </row>
    <row r="112" spans="1:6" x14ac:dyDescent="0.2">
      <c r="A112" s="32" t="s">
        <v>4</v>
      </c>
      <c r="B112" s="105" t="s">
        <v>87</v>
      </c>
      <c r="C112" s="106"/>
      <c r="D112" s="13">
        <f>((D35+D79+D91)/220)*22*0</f>
        <v>0</v>
      </c>
    </row>
    <row r="113" spans="1:4" x14ac:dyDescent="0.2">
      <c r="A113" s="99" t="s">
        <v>16</v>
      </c>
      <c r="B113" s="99"/>
      <c r="C113" s="99"/>
      <c r="D113" s="19">
        <f>SUM(D112)</f>
        <v>0</v>
      </c>
    </row>
    <row r="116" spans="1:4" x14ac:dyDescent="0.2">
      <c r="A116" s="111" t="s">
        <v>53</v>
      </c>
      <c r="B116" s="111"/>
      <c r="C116" s="111"/>
      <c r="D116" s="111"/>
    </row>
    <row r="117" spans="1:4" x14ac:dyDescent="0.2">
      <c r="A117" s="3"/>
    </row>
    <row r="118" spans="1:4" x14ac:dyDescent="0.2">
      <c r="A118" s="30">
        <v>4</v>
      </c>
      <c r="B118" s="99" t="s">
        <v>54</v>
      </c>
      <c r="C118" s="99"/>
      <c r="D118" s="30" t="s">
        <v>3</v>
      </c>
    </row>
    <row r="119" spans="1:4" x14ac:dyDescent="0.2">
      <c r="A119" s="32" t="s">
        <v>51</v>
      </c>
      <c r="B119" s="100" t="s">
        <v>78</v>
      </c>
      <c r="C119" s="100"/>
      <c r="D119" s="14">
        <f>D106</f>
        <v>87.25</v>
      </c>
    </row>
    <row r="120" spans="1:4" x14ac:dyDescent="0.2">
      <c r="A120" s="32" t="s">
        <v>52</v>
      </c>
      <c r="B120" s="100" t="s">
        <v>86</v>
      </c>
      <c r="C120" s="100"/>
      <c r="D120" s="14">
        <f>D113</f>
        <v>0</v>
      </c>
    </row>
    <row r="121" spans="1:4" x14ac:dyDescent="0.2">
      <c r="A121" s="99" t="s">
        <v>16</v>
      </c>
      <c r="B121" s="99"/>
      <c r="C121" s="99"/>
      <c r="D121" s="19">
        <f>SUM(D119:D120)</f>
        <v>87.25</v>
      </c>
    </row>
    <row r="124" spans="1:4" x14ac:dyDescent="0.2">
      <c r="A124" s="104" t="s">
        <v>55</v>
      </c>
      <c r="B124" s="104"/>
      <c r="C124" s="104"/>
      <c r="D124" s="104"/>
    </row>
    <row r="126" spans="1:4" x14ac:dyDescent="0.2">
      <c r="A126" s="30">
        <v>5</v>
      </c>
      <c r="B126" s="107" t="s">
        <v>56</v>
      </c>
      <c r="C126" s="107"/>
      <c r="D126" s="30" t="s">
        <v>3</v>
      </c>
    </row>
    <row r="127" spans="1:4" x14ac:dyDescent="0.2">
      <c r="A127" s="32" t="s">
        <v>4</v>
      </c>
      <c r="B127" s="29" t="s">
        <v>57</v>
      </c>
      <c r="C127" s="29"/>
      <c r="D127" s="13">
        <v>25.64</v>
      </c>
    </row>
    <row r="128" spans="1:4" x14ac:dyDescent="0.2">
      <c r="A128" s="32" t="s">
        <v>6</v>
      </c>
      <c r="B128" s="29" t="s">
        <v>58</v>
      </c>
      <c r="C128" s="29"/>
      <c r="D128" s="13">
        <v>0</v>
      </c>
    </row>
    <row r="129" spans="1:4" x14ac:dyDescent="0.2">
      <c r="A129" s="32" t="s">
        <v>8</v>
      </c>
      <c r="B129" s="29" t="s">
        <v>59</v>
      </c>
      <c r="C129" s="29"/>
      <c r="D129" s="13">
        <v>0</v>
      </c>
    </row>
    <row r="130" spans="1:4" x14ac:dyDescent="0.2">
      <c r="A130" s="32" t="s">
        <v>10</v>
      </c>
      <c r="B130" s="29" t="s">
        <v>106</v>
      </c>
      <c r="C130" s="29"/>
      <c r="D130" s="13">
        <v>0</v>
      </c>
    </row>
    <row r="131" spans="1:4" x14ac:dyDescent="0.2">
      <c r="A131" s="89" t="s">
        <v>12</v>
      </c>
      <c r="B131" s="88" t="s">
        <v>268</v>
      </c>
      <c r="C131" s="88"/>
      <c r="D131" s="13">
        <v>0.28000000000000003</v>
      </c>
    </row>
    <row r="132" spans="1:4" x14ac:dyDescent="0.2">
      <c r="A132" s="99" t="s">
        <v>37</v>
      </c>
      <c r="B132" s="99"/>
      <c r="C132" s="99"/>
      <c r="D132" s="20">
        <f>SUM(D127:D131)</f>
        <v>25.92</v>
      </c>
    </row>
    <row r="135" spans="1:4" x14ac:dyDescent="0.2">
      <c r="A135" s="104" t="s">
        <v>60</v>
      </c>
      <c r="B135" s="104"/>
      <c r="C135" s="104"/>
      <c r="D135" s="104"/>
    </row>
    <row r="137" spans="1:4" x14ac:dyDescent="0.2">
      <c r="A137" s="30">
        <v>6</v>
      </c>
      <c r="B137" s="31" t="s">
        <v>61</v>
      </c>
      <c r="C137" s="30" t="s">
        <v>26</v>
      </c>
      <c r="D137" s="30" t="s">
        <v>3</v>
      </c>
    </row>
    <row r="138" spans="1:4" x14ac:dyDescent="0.2">
      <c r="A138" s="32" t="s">
        <v>4</v>
      </c>
      <c r="B138" s="29" t="s">
        <v>62</v>
      </c>
      <c r="C138" s="9">
        <v>0.05</v>
      </c>
      <c r="D138" s="14">
        <f>D158*C138</f>
        <v>231.61382</v>
      </c>
    </row>
    <row r="139" spans="1:4" x14ac:dyDescent="0.2">
      <c r="A139" s="32" t="s">
        <v>6</v>
      </c>
      <c r="B139" s="29" t="s">
        <v>63</v>
      </c>
      <c r="C139" s="9">
        <v>0.06</v>
      </c>
      <c r="D139" s="13">
        <f>(D158+D138)*C139</f>
        <v>291.83341319999994</v>
      </c>
    </row>
    <row r="140" spans="1:4" x14ac:dyDescent="0.2">
      <c r="A140" s="32" t="s">
        <v>8</v>
      </c>
      <c r="B140" s="29" t="s">
        <v>64</v>
      </c>
      <c r="C140" s="12">
        <f>SUM(C141:C146)</f>
        <v>8.6499999999999994E-2</v>
      </c>
      <c r="D140" s="13">
        <f>(D158+D138+D139)*C140/(1-C140)</f>
        <v>488.19933691494242</v>
      </c>
    </row>
    <row r="141" spans="1:4" x14ac:dyDescent="0.2">
      <c r="A141" s="32"/>
      <c r="B141" s="29" t="s">
        <v>65</v>
      </c>
      <c r="C141" s="9"/>
      <c r="D141" s="14">
        <f>$D$160*C141</f>
        <v>0</v>
      </c>
    </row>
    <row r="142" spans="1:4" x14ac:dyDescent="0.2">
      <c r="A142" s="32"/>
      <c r="B142" s="29" t="s">
        <v>95</v>
      </c>
      <c r="C142" s="9">
        <v>6.4999999999999997E-3</v>
      </c>
      <c r="D142" s="14">
        <f t="shared" ref="D142:D146" si="3">$D$160*C142</f>
        <v>36.685479999999998</v>
      </c>
    </row>
    <row r="143" spans="1:4" x14ac:dyDescent="0.2">
      <c r="A143" s="32"/>
      <c r="B143" s="29" t="s">
        <v>96</v>
      </c>
      <c r="C143" s="9">
        <v>0.03</v>
      </c>
      <c r="D143" s="14">
        <f t="shared" si="3"/>
        <v>169.3176</v>
      </c>
    </row>
    <row r="144" spans="1:4" x14ac:dyDescent="0.2">
      <c r="A144" s="32"/>
      <c r="B144" s="29" t="s">
        <v>66</v>
      </c>
      <c r="C144" s="32"/>
      <c r="D144" s="14">
        <f t="shared" si="3"/>
        <v>0</v>
      </c>
    </row>
    <row r="145" spans="1:4" x14ac:dyDescent="0.2">
      <c r="A145" s="32"/>
      <c r="B145" s="29" t="s">
        <v>67</v>
      </c>
      <c r="C145" s="9"/>
      <c r="D145" s="14">
        <f t="shared" si="3"/>
        <v>0</v>
      </c>
    </row>
    <row r="146" spans="1:4" x14ac:dyDescent="0.2">
      <c r="A146" s="32"/>
      <c r="B146" s="29" t="s">
        <v>97</v>
      </c>
      <c r="C146" s="9">
        <v>0.05</v>
      </c>
      <c r="D146" s="14">
        <f t="shared" si="3"/>
        <v>282.19600000000003</v>
      </c>
    </row>
    <row r="147" spans="1:4" ht="13.5" x14ac:dyDescent="0.2">
      <c r="A147" s="108" t="s">
        <v>37</v>
      </c>
      <c r="B147" s="109"/>
      <c r="C147" s="21">
        <f>(1+C139)*(1+C138)/(1-C140)-1</f>
        <v>0.21839080459770144</v>
      </c>
      <c r="D147" s="19">
        <f>SUM(D138:D140)</f>
        <v>1011.6465701149423</v>
      </c>
    </row>
    <row r="150" spans="1:4" x14ac:dyDescent="0.2">
      <c r="A150" s="104" t="s">
        <v>68</v>
      </c>
      <c r="B150" s="104"/>
      <c r="C150" s="104"/>
      <c r="D150" s="104"/>
    </row>
    <row r="152" spans="1:4" x14ac:dyDescent="0.2">
      <c r="A152" s="30"/>
      <c r="B152" s="99" t="s">
        <v>69</v>
      </c>
      <c r="C152" s="99"/>
      <c r="D152" s="30" t="s">
        <v>3</v>
      </c>
    </row>
    <row r="153" spans="1:4" x14ac:dyDescent="0.2">
      <c r="A153" s="30" t="s">
        <v>4</v>
      </c>
      <c r="B153" s="100" t="s">
        <v>1</v>
      </c>
      <c r="C153" s="100"/>
      <c r="D153" s="22">
        <f>D35</f>
        <v>2209.06</v>
      </c>
    </row>
    <row r="154" spans="1:4" x14ac:dyDescent="0.2">
      <c r="A154" s="30" t="s">
        <v>6</v>
      </c>
      <c r="B154" s="100" t="s">
        <v>17</v>
      </c>
      <c r="C154" s="100"/>
      <c r="D154" s="22">
        <f>D79</f>
        <v>2174.0063999999998</v>
      </c>
    </row>
    <row r="155" spans="1:4" x14ac:dyDescent="0.2">
      <c r="A155" s="30" t="s">
        <v>8</v>
      </c>
      <c r="B155" s="100" t="s">
        <v>45</v>
      </c>
      <c r="C155" s="100"/>
      <c r="D155" s="22">
        <f>D91</f>
        <v>136.04000000000002</v>
      </c>
    </row>
    <row r="156" spans="1:4" x14ac:dyDescent="0.2">
      <c r="A156" s="30" t="s">
        <v>10</v>
      </c>
      <c r="B156" s="100" t="s">
        <v>50</v>
      </c>
      <c r="C156" s="100"/>
      <c r="D156" s="22">
        <f>D121</f>
        <v>87.25</v>
      </c>
    </row>
    <row r="157" spans="1:4" x14ac:dyDescent="0.2">
      <c r="A157" s="30" t="s">
        <v>12</v>
      </c>
      <c r="B157" s="100" t="s">
        <v>55</v>
      </c>
      <c r="C157" s="100"/>
      <c r="D157" s="22">
        <f>D132</f>
        <v>25.92</v>
      </c>
    </row>
    <row r="158" spans="1:4" x14ac:dyDescent="0.2">
      <c r="A158" s="99" t="s">
        <v>94</v>
      </c>
      <c r="B158" s="99"/>
      <c r="C158" s="99"/>
      <c r="D158" s="23">
        <f>SUM(D153:D157)</f>
        <v>4632.2763999999997</v>
      </c>
    </row>
    <row r="159" spans="1:4" x14ac:dyDescent="0.2">
      <c r="A159" s="30" t="s">
        <v>32</v>
      </c>
      <c r="B159" s="100" t="s">
        <v>70</v>
      </c>
      <c r="C159" s="100"/>
      <c r="D159" s="24">
        <f>D147</f>
        <v>1011.6465701149423</v>
      </c>
    </row>
    <row r="160" spans="1:4" x14ac:dyDescent="0.2">
      <c r="A160" s="99" t="s">
        <v>71</v>
      </c>
      <c r="B160" s="99"/>
      <c r="C160" s="99"/>
      <c r="D160" s="23">
        <f>ROUND(SUM(D158:D159),2)</f>
        <v>5643.92</v>
      </c>
    </row>
  </sheetData>
  <mergeCells count="75">
    <mergeCell ref="B156:C156"/>
    <mergeCell ref="B157:C157"/>
    <mergeCell ref="A158:C158"/>
    <mergeCell ref="B159:C159"/>
    <mergeCell ref="A160:C160"/>
    <mergeCell ref="B155:C155"/>
    <mergeCell ref="B120:C120"/>
    <mergeCell ref="A121:C121"/>
    <mergeCell ref="A124:D124"/>
    <mergeCell ref="B126:C126"/>
    <mergeCell ref="A132:C132"/>
    <mergeCell ref="A135:D135"/>
    <mergeCell ref="A147:B147"/>
    <mergeCell ref="A150:D150"/>
    <mergeCell ref="B152:C152"/>
    <mergeCell ref="B153:C153"/>
    <mergeCell ref="B154:C154"/>
    <mergeCell ref="B119:C119"/>
    <mergeCell ref="A91:C91"/>
    <mergeCell ref="A94:D94"/>
    <mergeCell ref="A97:D97"/>
    <mergeCell ref="B99:C99"/>
    <mergeCell ref="A106:C106"/>
    <mergeCell ref="A109:D109"/>
    <mergeCell ref="B111:C111"/>
    <mergeCell ref="B112:C112"/>
    <mergeCell ref="A113:C113"/>
    <mergeCell ref="A116:D116"/>
    <mergeCell ref="B118:C118"/>
    <mergeCell ref="B84:C84"/>
    <mergeCell ref="B67:C67"/>
    <mergeCell ref="B68:C68"/>
    <mergeCell ref="B69:C69"/>
    <mergeCell ref="A70:C70"/>
    <mergeCell ref="A73:D73"/>
    <mergeCell ref="B75:C75"/>
    <mergeCell ref="B76:C76"/>
    <mergeCell ref="B77:C77"/>
    <mergeCell ref="B78:C78"/>
    <mergeCell ref="A79:C79"/>
    <mergeCell ref="A82:D82"/>
    <mergeCell ref="B66:C66"/>
    <mergeCell ref="B34:C34"/>
    <mergeCell ref="A35:C35"/>
    <mergeCell ref="A38:D38"/>
    <mergeCell ref="A40:D40"/>
    <mergeCell ref="B42:C42"/>
    <mergeCell ref="A45:B45"/>
    <mergeCell ref="A48:D48"/>
    <mergeCell ref="A59:B59"/>
    <mergeCell ref="A62:D62"/>
    <mergeCell ref="B64:C64"/>
    <mergeCell ref="B65:C65"/>
    <mergeCell ref="B33:C33"/>
    <mergeCell ref="C20:D20"/>
    <mergeCell ref="C21:D21"/>
    <mergeCell ref="C22:D22"/>
    <mergeCell ref="C23:D23"/>
    <mergeCell ref="A25:D25"/>
    <mergeCell ref="B27:C27"/>
    <mergeCell ref="B28:C28"/>
    <mergeCell ref="B29:C29"/>
    <mergeCell ref="B30:C30"/>
    <mergeCell ref="B31:C31"/>
    <mergeCell ref="B32:C32"/>
    <mergeCell ref="C19:D19"/>
    <mergeCell ref="A1:D1"/>
    <mergeCell ref="A12:D12"/>
    <mergeCell ref="A14:B14"/>
    <mergeCell ref="A15:B15"/>
    <mergeCell ref="A17:D17"/>
    <mergeCell ref="A3:D3"/>
    <mergeCell ref="A5:D5"/>
    <mergeCell ref="B9:C9"/>
    <mergeCell ref="B10:C10"/>
  </mergeCells>
  <pageMargins left="0.51181102362204722" right="0.51181102362204722" top="0.78740157480314965" bottom="0.78740157480314965" header="0.31496062992125984" footer="0.31496062992125984"/>
  <pageSetup paperSize="9" scale="84" fitToHeight="0" orientation="portrait" r:id="rId1"/>
  <headerFooter>
    <oddHeader>&amp;C&amp;G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60"/>
  <sheetViews>
    <sheetView topLeftCell="A59" zoomScale="115" zoomScaleNormal="115" workbookViewId="0">
      <selection activeCell="D132" sqref="D132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113" t="s">
        <v>0</v>
      </c>
      <c r="B1" s="113"/>
      <c r="C1" s="113"/>
      <c r="D1" s="113"/>
    </row>
    <row r="2" spans="1:4" ht="15.75" x14ac:dyDescent="0.25">
      <c r="A2" s="26"/>
      <c r="B2" s="26"/>
      <c r="C2" s="26"/>
      <c r="D2" s="26"/>
    </row>
    <row r="3" spans="1:4" x14ac:dyDescent="0.2">
      <c r="A3" s="90" t="s">
        <v>255</v>
      </c>
      <c r="B3" s="90"/>
      <c r="C3" s="90"/>
      <c r="D3" s="90"/>
    </row>
    <row r="4" spans="1:4" x14ac:dyDescent="0.2">
      <c r="A4" s="2"/>
      <c r="B4" s="2"/>
      <c r="C4" s="2"/>
      <c r="D4" s="2"/>
    </row>
    <row r="5" spans="1:4" x14ac:dyDescent="0.2">
      <c r="A5" s="91" t="s">
        <v>256</v>
      </c>
      <c r="B5" s="92"/>
      <c r="C5" s="92"/>
      <c r="D5" s="93"/>
    </row>
    <row r="6" spans="1:4" x14ac:dyDescent="0.2">
      <c r="A6" s="83" t="s">
        <v>4</v>
      </c>
      <c r="B6" s="84" t="s">
        <v>257</v>
      </c>
      <c r="C6" s="85"/>
      <c r="D6" s="86" t="s">
        <v>262</v>
      </c>
    </row>
    <row r="7" spans="1:4" x14ac:dyDescent="0.2">
      <c r="A7" s="83" t="s">
        <v>6</v>
      </c>
      <c r="B7" s="84" t="s">
        <v>258</v>
      </c>
      <c r="C7" s="85"/>
      <c r="D7" s="86" t="s">
        <v>263</v>
      </c>
    </row>
    <row r="8" spans="1:4" x14ac:dyDescent="0.2">
      <c r="A8" s="83" t="s">
        <v>8</v>
      </c>
      <c r="B8" s="84" t="s">
        <v>259</v>
      </c>
      <c r="C8" s="85"/>
      <c r="D8" s="87">
        <v>45785</v>
      </c>
    </row>
    <row r="9" spans="1:4" x14ac:dyDescent="0.2">
      <c r="A9" s="83" t="s">
        <v>10</v>
      </c>
      <c r="B9" s="94" t="s">
        <v>264</v>
      </c>
      <c r="C9" s="95"/>
      <c r="D9" s="86" t="s">
        <v>260</v>
      </c>
    </row>
    <row r="10" spans="1:4" x14ac:dyDescent="0.2">
      <c r="A10" s="83" t="s">
        <v>12</v>
      </c>
      <c r="B10" s="94" t="s">
        <v>265</v>
      </c>
      <c r="C10" s="95"/>
      <c r="D10" s="86" t="s">
        <v>261</v>
      </c>
    </row>
    <row r="12" spans="1:4" x14ac:dyDescent="0.2">
      <c r="A12" s="103" t="s">
        <v>88</v>
      </c>
      <c r="B12" s="103"/>
      <c r="C12" s="103"/>
      <c r="D12" s="103"/>
    </row>
    <row r="13" spans="1:4" x14ac:dyDescent="0.2">
      <c r="A13" s="2"/>
      <c r="B13" s="2"/>
      <c r="C13" s="2"/>
      <c r="D13" s="2"/>
    </row>
    <row r="14" spans="1:4" ht="38.25" x14ac:dyDescent="0.2">
      <c r="A14" s="115" t="s">
        <v>89</v>
      </c>
      <c r="B14" s="115"/>
      <c r="C14" s="32" t="s">
        <v>90</v>
      </c>
      <c r="D14" s="27" t="s">
        <v>91</v>
      </c>
    </row>
    <row r="15" spans="1:4" x14ac:dyDescent="0.2">
      <c r="A15" s="96" t="s">
        <v>110</v>
      </c>
      <c r="B15" s="96"/>
      <c r="C15" s="33" t="s">
        <v>101</v>
      </c>
      <c r="D15" s="33">
        <v>1</v>
      </c>
    </row>
    <row r="17" spans="1:4" x14ac:dyDescent="0.2">
      <c r="A17" s="103" t="s">
        <v>72</v>
      </c>
      <c r="B17" s="103"/>
      <c r="C17" s="103"/>
      <c r="D17" s="103"/>
    </row>
    <row r="18" spans="1:4" x14ac:dyDescent="0.2">
      <c r="A18" s="2"/>
      <c r="B18" s="2"/>
      <c r="C18" s="2"/>
      <c r="D18" s="2"/>
    </row>
    <row r="19" spans="1:4" x14ac:dyDescent="0.2">
      <c r="A19" s="5">
        <v>1</v>
      </c>
      <c r="B19" s="5" t="s">
        <v>73</v>
      </c>
      <c r="C19" s="97" t="s">
        <v>110</v>
      </c>
      <c r="D19" s="98"/>
    </row>
    <row r="20" spans="1:4" x14ac:dyDescent="0.2">
      <c r="A20" s="5">
        <v>2</v>
      </c>
      <c r="B20" s="5" t="s">
        <v>92</v>
      </c>
      <c r="C20" s="97" t="s">
        <v>108</v>
      </c>
      <c r="D20" s="98"/>
    </row>
    <row r="21" spans="1:4" x14ac:dyDescent="0.2">
      <c r="A21" s="5">
        <v>3</v>
      </c>
      <c r="B21" s="5" t="s">
        <v>74</v>
      </c>
      <c r="C21" s="101">
        <v>2209.06</v>
      </c>
      <c r="D21" s="102"/>
    </row>
    <row r="22" spans="1:4" x14ac:dyDescent="0.2">
      <c r="A22" s="5">
        <v>4</v>
      </c>
      <c r="B22" s="5" t="s">
        <v>75</v>
      </c>
      <c r="C22" s="97"/>
      <c r="D22" s="98"/>
    </row>
    <row r="23" spans="1:4" x14ac:dyDescent="0.2">
      <c r="A23" s="5">
        <v>5</v>
      </c>
      <c r="B23" s="5" t="s">
        <v>76</v>
      </c>
      <c r="C23" s="97"/>
      <c r="D23" s="98"/>
    </row>
    <row r="25" spans="1:4" x14ac:dyDescent="0.2">
      <c r="A25" s="103" t="s">
        <v>1</v>
      </c>
      <c r="B25" s="103"/>
      <c r="C25" s="103"/>
      <c r="D25" s="103"/>
    </row>
    <row r="27" spans="1:4" x14ac:dyDescent="0.2">
      <c r="A27" s="30">
        <v>1</v>
      </c>
      <c r="B27" s="99" t="s">
        <v>2</v>
      </c>
      <c r="C27" s="99"/>
      <c r="D27" s="30" t="s">
        <v>3</v>
      </c>
    </row>
    <row r="28" spans="1:4" x14ac:dyDescent="0.2">
      <c r="A28" s="32" t="s">
        <v>4</v>
      </c>
      <c r="B28" s="100" t="s">
        <v>5</v>
      </c>
      <c r="C28" s="100"/>
      <c r="D28" s="13">
        <v>2209.06</v>
      </c>
    </row>
    <row r="29" spans="1:4" x14ac:dyDescent="0.2">
      <c r="A29" s="32" t="s">
        <v>6</v>
      </c>
      <c r="B29" s="100" t="s">
        <v>7</v>
      </c>
      <c r="C29" s="100"/>
      <c r="D29" s="13"/>
    </row>
    <row r="30" spans="1:4" x14ac:dyDescent="0.2">
      <c r="A30" s="32" t="s">
        <v>8</v>
      </c>
      <c r="B30" s="100" t="s">
        <v>9</v>
      </c>
      <c r="C30" s="100"/>
      <c r="D30" s="13"/>
    </row>
    <row r="31" spans="1:4" x14ac:dyDescent="0.2">
      <c r="A31" s="32" t="s">
        <v>10</v>
      </c>
      <c r="B31" s="100" t="s">
        <v>11</v>
      </c>
      <c r="C31" s="100"/>
      <c r="D31" s="13"/>
    </row>
    <row r="32" spans="1:4" x14ac:dyDescent="0.2">
      <c r="A32" s="32" t="s">
        <v>12</v>
      </c>
      <c r="B32" s="100" t="s">
        <v>13</v>
      </c>
      <c r="C32" s="100"/>
      <c r="D32" s="13"/>
    </row>
    <row r="33" spans="1:4" x14ac:dyDescent="0.2">
      <c r="A33" s="32"/>
      <c r="B33" s="100"/>
      <c r="C33" s="100"/>
      <c r="D33" s="13"/>
    </row>
    <row r="34" spans="1:4" x14ac:dyDescent="0.2">
      <c r="A34" s="32" t="s">
        <v>14</v>
      </c>
      <c r="B34" s="100" t="s">
        <v>15</v>
      </c>
      <c r="C34" s="100"/>
      <c r="D34" s="13"/>
    </row>
    <row r="35" spans="1:4" x14ac:dyDescent="0.2">
      <c r="A35" s="99" t="s">
        <v>16</v>
      </c>
      <c r="B35" s="99"/>
      <c r="C35" s="99"/>
      <c r="D35" s="20">
        <f>SUM(D28:D34)</f>
        <v>2209.06</v>
      </c>
    </row>
    <row r="38" spans="1:4" x14ac:dyDescent="0.2">
      <c r="A38" s="104" t="s">
        <v>17</v>
      </c>
      <c r="B38" s="104"/>
      <c r="C38" s="104"/>
      <c r="D38" s="104"/>
    </row>
    <row r="39" spans="1:4" x14ac:dyDescent="0.2">
      <c r="A39" s="3"/>
    </row>
    <row r="40" spans="1:4" x14ac:dyDescent="0.2">
      <c r="A40" s="111" t="s">
        <v>18</v>
      </c>
      <c r="B40" s="111"/>
      <c r="C40" s="111"/>
      <c r="D40" s="111"/>
    </row>
    <row r="42" spans="1:4" x14ac:dyDescent="0.2">
      <c r="A42" s="30" t="s">
        <v>19</v>
      </c>
      <c r="B42" s="99" t="s">
        <v>20</v>
      </c>
      <c r="C42" s="99"/>
      <c r="D42" s="30" t="s">
        <v>3</v>
      </c>
    </row>
    <row r="43" spans="1:4" x14ac:dyDescent="0.2">
      <c r="A43" s="32" t="s">
        <v>4</v>
      </c>
      <c r="B43" s="29" t="s">
        <v>21</v>
      </c>
      <c r="C43" s="12">
        <f>TRUNC(1/12,4)</f>
        <v>8.3299999999999999E-2</v>
      </c>
      <c r="D43" s="13">
        <f>TRUNC($D$35*C43,2)</f>
        <v>184.01</v>
      </c>
    </row>
    <row r="44" spans="1:4" x14ac:dyDescent="0.2">
      <c r="A44" s="32" t="s">
        <v>6</v>
      </c>
      <c r="B44" s="29" t="s">
        <v>22</v>
      </c>
      <c r="C44" s="12">
        <f>TRUNC(((1+1/3)/12),4)</f>
        <v>0.1111</v>
      </c>
      <c r="D44" s="13">
        <f>TRUNC($D$35*C44,2)</f>
        <v>245.42</v>
      </c>
    </row>
    <row r="45" spans="1:4" x14ac:dyDescent="0.2">
      <c r="A45" s="99" t="s">
        <v>16</v>
      </c>
      <c r="B45" s="99"/>
      <c r="C45" s="28">
        <f>SUM(C43:C44)</f>
        <v>0.19440000000000002</v>
      </c>
      <c r="D45" s="19">
        <f>SUM(D43:D44)</f>
        <v>429.42999999999995</v>
      </c>
    </row>
    <row r="48" spans="1:4" x14ac:dyDescent="0.2">
      <c r="A48" s="114" t="s">
        <v>23</v>
      </c>
      <c r="B48" s="114"/>
      <c r="C48" s="114"/>
      <c r="D48" s="114"/>
    </row>
    <row r="50" spans="1:4" x14ac:dyDescent="0.2">
      <c r="A50" s="30" t="s">
        <v>24</v>
      </c>
      <c r="B50" s="30" t="s">
        <v>25</v>
      </c>
      <c r="C50" s="30" t="s">
        <v>26</v>
      </c>
      <c r="D50" s="30" t="s">
        <v>3</v>
      </c>
    </row>
    <row r="51" spans="1:4" x14ac:dyDescent="0.2">
      <c r="A51" s="32" t="s">
        <v>4</v>
      </c>
      <c r="B51" s="29" t="s">
        <v>27</v>
      </c>
      <c r="C51" s="9">
        <v>0.2</v>
      </c>
      <c r="D51" s="13">
        <f>TRUNC(($D$35+$D$45)*C51,2)</f>
        <v>527.69000000000005</v>
      </c>
    </row>
    <row r="52" spans="1:4" x14ac:dyDescent="0.2">
      <c r="A52" s="32" t="s">
        <v>6</v>
      </c>
      <c r="B52" s="29" t="s">
        <v>28</v>
      </c>
      <c r="C52" s="9">
        <v>2.5000000000000001E-2</v>
      </c>
      <c r="D52" s="13">
        <f t="shared" ref="D52:D58" si="0">TRUNC(($D$35+$D$45)*C52,2)</f>
        <v>65.959999999999994</v>
      </c>
    </row>
    <row r="53" spans="1:4" x14ac:dyDescent="0.2">
      <c r="A53" s="32" t="s">
        <v>8</v>
      </c>
      <c r="B53" s="29" t="s">
        <v>29</v>
      </c>
      <c r="C53" s="16">
        <v>0.03</v>
      </c>
      <c r="D53" s="13">
        <f t="shared" si="0"/>
        <v>79.150000000000006</v>
      </c>
    </row>
    <row r="54" spans="1:4" x14ac:dyDescent="0.2">
      <c r="A54" s="32" t="s">
        <v>10</v>
      </c>
      <c r="B54" s="29" t="s">
        <v>30</v>
      </c>
      <c r="C54" s="9">
        <v>1.4999999999999999E-2</v>
      </c>
      <c r="D54" s="13">
        <f t="shared" si="0"/>
        <v>39.57</v>
      </c>
    </row>
    <row r="55" spans="1:4" x14ac:dyDescent="0.2">
      <c r="A55" s="32" t="s">
        <v>12</v>
      </c>
      <c r="B55" s="29" t="s">
        <v>31</v>
      </c>
      <c r="C55" s="9">
        <v>0.01</v>
      </c>
      <c r="D55" s="13">
        <f t="shared" si="0"/>
        <v>26.38</v>
      </c>
    </row>
    <row r="56" spans="1:4" x14ac:dyDescent="0.2">
      <c r="A56" s="32" t="s">
        <v>32</v>
      </c>
      <c r="B56" s="29" t="s">
        <v>33</v>
      </c>
      <c r="C56" s="9">
        <v>6.0000000000000001E-3</v>
      </c>
      <c r="D56" s="13">
        <f t="shared" si="0"/>
        <v>15.83</v>
      </c>
    </row>
    <row r="57" spans="1:4" x14ac:dyDescent="0.2">
      <c r="A57" s="32" t="s">
        <v>14</v>
      </c>
      <c r="B57" s="29" t="s">
        <v>34</v>
      </c>
      <c r="C57" s="9">
        <v>2E-3</v>
      </c>
      <c r="D57" s="13">
        <f t="shared" si="0"/>
        <v>5.27</v>
      </c>
    </row>
    <row r="58" spans="1:4" x14ac:dyDescent="0.2">
      <c r="A58" s="32" t="s">
        <v>35</v>
      </c>
      <c r="B58" s="29" t="s">
        <v>36</v>
      </c>
      <c r="C58" s="9">
        <v>0.08</v>
      </c>
      <c r="D58" s="13">
        <f t="shared" si="0"/>
        <v>211.07</v>
      </c>
    </row>
    <row r="59" spans="1:4" x14ac:dyDescent="0.2">
      <c r="A59" s="99" t="s">
        <v>37</v>
      </c>
      <c r="B59" s="99"/>
      <c r="C59" s="15">
        <f>SUM(C51:C58)</f>
        <v>0.36800000000000005</v>
      </c>
      <c r="D59" s="19">
        <f>SUM(D51:D58)</f>
        <v>970.92000000000007</v>
      </c>
    </row>
    <row r="62" spans="1:4" x14ac:dyDescent="0.2">
      <c r="A62" s="111" t="s">
        <v>38</v>
      </c>
      <c r="B62" s="111"/>
      <c r="C62" s="111"/>
      <c r="D62" s="111"/>
    </row>
    <row r="64" spans="1:4" x14ac:dyDescent="0.2">
      <c r="A64" s="30" t="s">
        <v>39</v>
      </c>
      <c r="B64" s="110" t="s">
        <v>40</v>
      </c>
      <c r="C64" s="110"/>
      <c r="D64" s="30" t="s">
        <v>3</v>
      </c>
    </row>
    <row r="65" spans="1:5" x14ac:dyDescent="0.2">
      <c r="A65" s="32" t="s">
        <v>4</v>
      </c>
      <c r="B65" s="100" t="s">
        <v>41</v>
      </c>
      <c r="C65" s="100"/>
      <c r="D65" s="13">
        <f>IF((22*2*5.6)-(D28*0.06)&gt;0,(22*2*5.6)-(D28*0.06),0)</f>
        <v>113.85639999999998</v>
      </c>
    </row>
    <row r="66" spans="1:5" x14ac:dyDescent="0.2">
      <c r="A66" s="32" t="s">
        <v>6</v>
      </c>
      <c r="B66" s="100" t="s">
        <v>42</v>
      </c>
      <c r="C66" s="100"/>
      <c r="D66" s="13">
        <f>20*0.8*22</f>
        <v>352</v>
      </c>
    </row>
    <row r="67" spans="1:5" x14ac:dyDescent="0.2">
      <c r="A67" s="32" t="s">
        <v>8</v>
      </c>
      <c r="B67" s="100" t="s">
        <v>103</v>
      </c>
      <c r="C67" s="100"/>
      <c r="D67" s="13">
        <v>280</v>
      </c>
    </row>
    <row r="68" spans="1:5" x14ac:dyDescent="0.2">
      <c r="A68" s="32" t="s">
        <v>10</v>
      </c>
      <c r="B68" s="100" t="s">
        <v>104</v>
      </c>
      <c r="C68" s="100"/>
      <c r="D68" s="13">
        <v>23</v>
      </c>
    </row>
    <row r="69" spans="1:5" x14ac:dyDescent="0.2">
      <c r="A69" s="32" t="s">
        <v>12</v>
      </c>
      <c r="B69" s="100" t="s">
        <v>105</v>
      </c>
      <c r="C69" s="100"/>
      <c r="D69" s="13">
        <v>4.8</v>
      </c>
    </row>
    <row r="70" spans="1:5" x14ac:dyDescent="0.2">
      <c r="A70" s="99" t="s">
        <v>16</v>
      </c>
      <c r="B70" s="99"/>
      <c r="C70" s="99"/>
      <c r="D70" s="19">
        <f>SUM(D65:D69)</f>
        <v>773.65639999999996</v>
      </c>
    </row>
    <row r="71" spans="1:5" x14ac:dyDescent="0.2">
      <c r="E71" s="18"/>
    </row>
    <row r="73" spans="1:5" x14ac:dyDescent="0.2">
      <c r="A73" s="111" t="s">
        <v>43</v>
      </c>
      <c r="B73" s="111"/>
      <c r="C73" s="111"/>
      <c r="D73" s="111"/>
      <c r="E73" s="17"/>
    </row>
    <row r="74" spans="1:5" ht="12.75" customHeight="1" x14ac:dyDescent="0.2">
      <c r="E74" s="18"/>
    </row>
    <row r="75" spans="1:5" x14ac:dyDescent="0.2">
      <c r="A75" s="30">
        <v>2</v>
      </c>
      <c r="B75" s="110" t="s">
        <v>44</v>
      </c>
      <c r="C75" s="110"/>
      <c r="D75" s="30" t="s">
        <v>3</v>
      </c>
    </row>
    <row r="76" spans="1:5" x14ac:dyDescent="0.2">
      <c r="A76" s="32" t="s">
        <v>19</v>
      </c>
      <c r="B76" s="100" t="s">
        <v>20</v>
      </c>
      <c r="C76" s="100"/>
      <c r="D76" s="14">
        <f>D45</f>
        <v>429.42999999999995</v>
      </c>
    </row>
    <row r="77" spans="1:5" x14ac:dyDescent="0.2">
      <c r="A77" s="32" t="s">
        <v>24</v>
      </c>
      <c r="B77" s="100" t="s">
        <v>25</v>
      </c>
      <c r="C77" s="100"/>
      <c r="D77" s="14">
        <f>D59</f>
        <v>970.92000000000007</v>
      </c>
    </row>
    <row r="78" spans="1:5" x14ac:dyDescent="0.2">
      <c r="A78" s="32" t="s">
        <v>39</v>
      </c>
      <c r="B78" s="100" t="s">
        <v>40</v>
      </c>
      <c r="C78" s="100"/>
      <c r="D78" s="14">
        <f>D70</f>
        <v>773.65639999999996</v>
      </c>
    </row>
    <row r="79" spans="1:5" x14ac:dyDescent="0.2">
      <c r="A79" s="99" t="s">
        <v>16</v>
      </c>
      <c r="B79" s="99"/>
      <c r="C79" s="99"/>
      <c r="D79" s="19">
        <f>SUM(D76:D78)</f>
        <v>2174.0063999999998</v>
      </c>
    </row>
    <row r="80" spans="1:5" x14ac:dyDescent="0.2">
      <c r="A80" s="4"/>
    </row>
    <row r="82" spans="1:4" x14ac:dyDescent="0.2">
      <c r="A82" s="104" t="s">
        <v>45</v>
      </c>
      <c r="B82" s="104"/>
      <c r="C82" s="104"/>
      <c r="D82" s="104"/>
    </row>
    <row r="84" spans="1:4" x14ac:dyDescent="0.2">
      <c r="A84" s="30">
        <v>3</v>
      </c>
      <c r="B84" s="110" t="s">
        <v>46</v>
      </c>
      <c r="C84" s="110"/>
      <c r="D84" s="30" t="s">
        <v>3</v>
      </c>
    </row>
    <row r="85" spans="1:4" x14ac:dyDescent="0.2">
      <c r="A85" s="32" t="s">
        <v>4</v>
      </c>
      <c r="B85" s="10" t="s">
        <v>47</v>
      </c>
      <c r="C85" s="9">
        <f>TRUNC(((1/12)*5%),4)</f>
        <v>4.1000000000000003E-3</v>
      </c>
      <c r="D85" s="13">
        <f>TRUNC($D$35*C85,2)</f>
        <v>9.0500000000000007</v>
      </c>
    </row>
    <row r="86" spans="1:4" x14ac:dyDescent="0.2">
      <c r="A86" s="32" t="s">
        <v>6</v>
      </c>
      <c r="B86" s="10" t="s">
        <v>48</v>
      </c>
      <c r="C86" s="9">
        <v>0.08</v>
      </c>
      <c r="D86" s="13">
        <f>TRUNC(D85*C86,2)</f>
        <v>0.72</v>
      </c>
    </row>
    <row r="87" spans="1:4" x14ac:dyDescent="0.2">
      <c r="A87" s="32" t="s">
        <v>8</v>
      </c>
      <c r="B87" s="10" t="s">
        <v>98</v>
      </c>
      <c r="C87" s="9">
        <f>TRUNC(8%*5%*40%,4)</f>
        <v>1.6000000000000001E-3</v>
      </c>
      <c r="D87" s="13">
        <f>TRUNC($D$35*C87,2)</f>
        <v>3.53</v>
      </c>
    </row>
    <row r="88" spans="1:4" x14ac:dyDescent="0.2">
      <c r="A88" s="32" t="s">
        <v>10</v>
      </c>
      <c r="B88" s="10" t="s">
        <v>49</v>
      </c>
      <c r="C88" s="9">
        <f>TRUNC(((7/30)/12)*95%,4)</f>
        <v>1.84E-2</v>
      </c>
      <c r="D88" s="13">
        <f>TRUNC($D$35*C88,2)</f>
        <v>40.64</v>
      </c>
    </row>
    <row r="89" spans="1:4" ht="25.5" x14ac:dyDescent="0.2">
      <c r="A89" s="32" t="s">
        <v>12</v>
      </c>
      <c r="B89" s="10" t="s">
        <v>93</v>
      </c>
      <c r="C89" s="9">
        <f>C59</f>
        <v>0.36800000000000005</v>
      </c>
      <c r="D89" s="13">
        <f>TRUNC(D88*C89,2)</f>
        <v>14.95</v>
      </c>
    </row>
    <row r="90" spans="1:4" x14ac:dyDescent="0.2">
      <c r="A90" s="32" t="s">
        <v>32</v>
      </c>
      <c r="B90" s="10" t="s">
        <v>99</v>
      </c>
      <c r="C90" s="9">
        <f>TRUNC(8%*95%*40%,4)</f>
        <v>3.04E-2</v>
      </c>
      <c r="D90" s="13">
        <f t="shared" ref="D90" si="1">TRUNC($D$35*C90,2)</f>
        <v>67.150000000000006</v>
      </c>
    </row>
    <row r="91" spans="1:4" x14ac:dyDescent="0.2">
      <c r="A91" s="108" t="s">
        <v>16</v>
      </c>
      <c r="B91" s="109"/>
      <c r="C91" s="112"/>
      <c r="D91" s="19">
        <f>SUM(D85:D90)</f>
        <v>136.04000000000002</v>
      </c>
    </row>
    <row r="94" spans="1:4" x14ac:dyDescent="0.2">
      <c r="A94" s="104" t="s">
        <v>50</v>
      </c>
      <c r="B94" s="104"/>
      <c r="C94" s="104"/>
      <c r="D94" s="104"/>
    </row>
    <row r="97" spans="1:6" x14ac:dyDescent="0.2">
      <c r="A97" s="111" t="s">
        <v>77</v>
      </c>
      <c r="B97" s="111"/>
      <c r="C97" s="111"/>
      <c r="D97" s="111"/>
      <c r="E97" s="17"/>
      <c r="F97" s="17"/>
    </row>
    <row r="98" spans="1:6" x14ac:dyDescent="0.2">
      <c r="A98" s="3"/>
    </row>
    <row r="99" spans="1:6" x14ac:dyDescent="0.2">
      <c r="A99" s="30" t="s">
        <v>51</v>
      </c>
      <c r="B99" s="110" t="s">
        <v>78</v>
      </c>
      <c r="C99" s="110"/>
      <c r="D99" s="30" t="s">
        <v>3</v>
      </c>
    </row>
    <row r="100" spans="1:6" x14ac:dyDescent="0.2">
      <c r="A100" s="32" t="s">
        <v>4</v>
      </c>
      <c r="B100" s="29" t="s">
        <v>79</v>
      </c>
      <c r="C100" s="9">
        <f>TRUNC(((1+1/3)/12)/12,4)</f>
        <v>9.1999999999999998E-3</v>
      </c>
      <c r="D100" s="13">
        <f>TRUNC(($D$35+$D$79+$D$91)*C100,2)</f>
        <v>41.57</v>
      </c>
    </row>
    <row r="101" spans="1:6" x14ac:dyDescent="0.2">
      <c r="A101" s="32" t="s">
        <v>6</v>
      </c>
      <c r="B101" s="29" t="s">
        <v>80</v>
      </c>
      <c r="C101" s="9">
        <f>TRUNC(((2/30)/12),4)</f>
        <v>5.4999999999999997E-3</v>
      </c>
      <c r="D101" s="13">
        <f t="shared" ref="D101:D105" si="2">TRUNC(($D$35+$D$79+$D$91)*C101,2)</f>
        <v>24.85</v>
      </c>
    </row>
    <row r="102" spans="1:6" x14ac:dyDescent="0.2">
      <c r="A102" s="32" t="s">
        <v>8</v>
      </c>
      <c r="B102" s="29" t="s">
        <v>81</v>
      </c>
      <c r="C102" s="9">
        <f>TRUNC(((5/30)/12)*2%,4)</f>
        <v>2.0000000000000001E-4</v>
      </c>
      <c r="D102" s="13">
        <f t="shared" si="2"/>
        <v>0.9</v>
      </c>
    </row>
    <row r="103" spans="1:6" x14ac:dyDescent="0.2">
      <c r="A103" s="32" t="s">
        <v>10</v>
      </c>
      <c r="B103" s="29" t="s">
        <v>82</v>
      </c>
      <c r="C103" s="9">
        <f>TRUNC(((15/30)/12)*8%,4)</f>
        <v>3.3E-3</v>
      </c>
      <c r="D103" s="13">
        <f t="shared" si="2"/>
        <v>14.91</v>
      </c>
    </row>
    <row r="104" spans="1:6" x14ac:dyDescent="0.2">
      <c r="A104" s="32" t="s">
        <v>12</v>
      </c>
      <c r="B104" s="29" t="s">
        <v>83</v>
      </c>
      <c r="C104" s="9">
        <f>((1+1/3)/12)*3%*(4/12)</f>
        <v>1.1111111111111109E-3</v>
      </c>
      <c r="D104" s="13">
        <f t="shared" si="2"/>
        <v>5.0199999999999996</v>
      </c>
    </row>
    <row r="105" spans="1:6" x14ac:dyDescent="0.2">
      <c r="A105" s="32" t="s">
        <v>32</v>
      </c>
      <c r="B105" s="29" t="s">
        <v>84</v>
      </c>
      <c r="C105" s="9"/>
      <c r="D105" s="13">
        <f t="shared" si="2"/>
        <v>0</v>
      </c>
    </row>
    <row r="106" spans="1:6" x14ac:dyDescent="0.2">
      <c r="A106" s="99" t="s">
        <v>37</v>
      </c>
      <c r="B106" s="99"/>
      <c r="C106" s="99"/>
      <c r="D106" s="19">
        <f>SUM(D100:D105)</f>
        <v>87.25</v>
      </c>
    </row>
    <row r="109" spans="1:6" x14ac:dyDescent="0.2">
      <c r="A109" s="111" t="s">
        <v>85</v>
      </c>
      <c r="B109" s="111"/>
      <c r="C109" s="111"/>
      <c r="D109" s="111"/>
    </row>
    <row r="110" spans="1:6" x14ac:dyDescent="0.2">
      <c r="A110" s="3"/>
    </row>
    <row r="111" spans="1:6" x14ac:dyDescent="0.2">
      <c r="A111" s="30" t="s">
        <v>52</v>
      </c>
      <c r="B111" s="110" t="s">
        <v>86</v>
      </c>
      <c r="C111" s="110"/>
      <c r="D111" s="30" t="s">
        <v>3</v>
      </c>
    </row>
    <row r="112" spans="1:6" x14ac:dyDescent="0.2">
      <c r="A112" s="32" t="s">
        <v>4</v>
      </c>
      <c r="B112" s="105" t="s">
        <v>87</v>
      </c>
      <c r="C112" s="106"/>
      <c r="D112" s="13">
        <f>((D35+D79+D91)/220)*22*0</f>
        <v>0</v>
      </c>
    </row>
    <row r="113" spans="1:4" x14ac:dyDescent="0.2">
      <c r="A113" s="99" t="s">
        <v>16</v>
      </c>
      <c r="B113" s="99"/>
      <c r="C113" s="99"/>
      <c r="D113" s="19">
        <f>SUM(D112)</f>
        <v>0</v>
      </c>
    </row>
    <row r="116" spans="1:4" x14ac:dyDescent="0.2">
      <c r="A116" s="111" t="s">
        <v>53</v>
      </c>
      <c r="B116" s="111"/>
      <c r="C116" s="111"/>
      <c r="D116" s="111"/>
    </row>
    <row r="117" spans="1:4" x14ac:dyDescent="0.2">
      <c r="A117" s="3"/>
    </row>
    <row r="118" spans="1:4" x14ac:dyDescent="0.2">
      <c r="A118" s="30">
        <v>4</v>
      </c>
      <c r="B118" s="99" t="s">
        <v>54</v>
      </c>
      <c r="C118" s="99"/>
      <c r="D118" s="30" t="s">
        <v>3</v>
      </c>
    </row>
    <row r="119" spans="1:4" x14ac:dyDescent="0.2">
      <c r="A119" s="32" t="s">
        <v>51</v>
      </c>
      <c r="B119" s="100" t="s">
        <v>78</v>
      </c>
      <c r="C119" s="100"/>
      <c r="D119" s="14">
        <f>D106</f>
        <v>87.25</v>
      </c>
    </row>
    <row r="120" spans="1:4" x14ac:dyDescent="0.2">
      <c r="A120" s="32" t="s">
        <v>52</v>
      </c>
      <c r="B120" s="100" t="s">
        <v>86</v>
      </c>
      <c r="C120" s="100"/>
      <c r="D120" s="14">
        <f>D113</f>
        <v>0</v>
      </c>
    </row>
    <row r="121" spans="1:4" x14ac:dyDescent="0.2">
      <c r="A121" s="99" t="s">
        <v>16</v>
      </c>
      <c r="B121" s="99"/>
      <c r="C121" s="99"/>
      <c r="D121" s="19">
        <f>SUM(D119:D120)</f>
        <v>87.25</v>
      </c>
    </row>
    <row r="124" spans="1:4" x14ac:dyDescent="0.2">
      <c r="A124" s="104" t="s">
        <v>55</v>
      </c>
      <c r="B124" s="104"/>
      <c r="C124" s="104"/>
      <c r="D124" s="104"/>
    </row>
    <row r="126" spans="1:4" x14ac:dyDescent="0.2">
      <c r="A126" s="30">
        <v>5</v>
      </c>
      <c r="B126" s="107" t="s">
        <v>56</v>
      </c>
      <c r="C126" s="107"/>
      <c r="D126" s="30" t="s">
        <v>3</v>
      </c>
    </row>
    <row r="127" spans="1:4" x14ac:dyDescent="0.2">
      <c r="A127" s="32" t="s">
        <v>4</v>
      </c>
      <c r="B127" s="29" t="s">
        <v>57</v>
      </c>
      <c r="C127" s="29"/>
      <c r="D127" s="13">
        <v>25.64</v>
      </c>
    </row>
    <row r="128" spans="1:4" x14ac:dyDescent="0.2">
      <c r="A128" s="32" t="s">
        <v>6</v>
      </c>
      <c r="B128" s="29" t="s">
        <v>58</v>
      </c>
      <c r="C128" s="29"/>
      <c r="D128" s="13">
        <v>0</v>
      </c>
    </row>
    <row r="129" spans="1:4" x14ac:dyDescent="0.2">
      <c r="A129" s="32" t="s">
        <v>8</v>
      </c>
      <c r="B129" s="29" t="s">
        <v>59</v>
      </c>
      <c r="C129" s="29"/>
      <c r="D129" s="13">
        <v>0</v>
      </c>
    </row>
    <row r="130" spans="1:4" x14ac:dyDescent="0.2">
      <c r="A130" s="32" t="s">
        <v>10</v>
      </c>
      <c r="B130" s="29" t="s">
        <v>106</v>
      </c>
      <c r="C130" s="29"/>
      <c r="D130" s="13">
        <v>0</v>
      </c>
    </row>
    <row r="131" spans="1:4" x14ac:dyDescent="0.2">
      <c r="A131" s="89" t="s">
        <v>12</v>
      </c>
      <c r="B131" s="88" t="s">
        <v>268</v>
      </c>
      <c r="C131" s="88"/>
      <c r="D131" s="13">
        <v>0.28000000000000003</v>
      </c>
    </row>
    <row r="132" spans="1:4" x14ac:dyDescent="0.2">
      <c r="A132" s="99" t="s">
        <v>37</v>
      </c>
      <c r="B132" s="99"/>
      <c r="C132" s="99"/>
      <c r="D132" s="20">
        <f>SUM(D127:D131)</f>
        <v>25.92</v>
      </c>
    </row>
    <row r="135" spans="1:4" x14ac:dyDescent="0.2">
      <c r="A135" s="104" t="s">
        <v>60</v>
      </c>
      <c r="B135" s="104"/>
      <c r="C135" s="104"/>
      <c r="D135" s="104"/>
    </row>
    <row r="137" spans="1:4" x14ac:dyDescent="0.2">
      <c r="A137" s="30">
        <v>6</v>
      </c>
      <c r="B137" s="31" t="s">
        <v>61</v>
      </c>
      <c r="C137" s="30" t="s">
        <v>26</v>
      </c>
      <c r="D137" s="30" t="s">
        <v>3</v>
      </c>
    </row>
    <row r="138" spans="1:4" x14ac:dyDescent="0.2">
      <c r="A138" s="32" t="s">
        <v>4</v>
      </c>
      <c r="B138" s="29" t="s">
        <v>62</v>
      </c>
      <c r="C138" s="9">
        <v>0.05</v>
      </c>
      <c r="D138" s="14">
        <f>D158*C138</f>
        <v>231.61382</v>
      </c>
    </row>
    <row r="139" spans="1:4" x14ac:dyDescent="0.2">
      <c r="A139" s="32" t="s">
        <v>6</v>
      </c>
      <c r="B139" s="29" t="s">
        <v>63</v>
      </c>
      <c r="C139" s="9">
        <v>0.06</v>
      </c>
      <c r="D139" s="13">
        <f>(D158+D138)*C139</f>
        <v>291.83341319999994</v>
      </c>
    </row>
    <row r="140" spans="1:4" x14ac:dyDescent="0.2">
      <c r="A140" s="32" t="s">
        <v>8</v>
      </c>
      <c r="B140" s="29" t="s">
        <v>64</v>
      </c>
      <c r="C140" s="12">
        <f>SUM(C141:C146)</f>
        <v>8.6499999999999994E-2</v>
      </c>
      <c r="D140" s="13">
        <f>(D158+D138+D139)*C140/(1-C140)</f>
        <v>488.19933691494242</v>
      </c>
    </row>
    <row r="141" spans="1:4" x14ac:dyDescent="0.2">
      <c r="A141" s="32"/>
      <c r="B141" s="29" t="s">
        <v>65</v>
      </c>
      <c r="C141" s="9"/>
      <c r="D141" s="14">
        <f>$D$160*C141</f>
        <v>0</v>
      </c>
    </row>
    <row r="142" spans="1:4" x14ac:dyDescent="0.2">
      <c r="A142" s="32"/>
      <c r="B142" s="29" t="s">
        <v>95</v>
      </c>
      <c r="C142" s="9">
        <v>6.4999999999999997E-3</v>
      </c>
      <c r="D142" s="14">
        <f t="shared" ref="D142:D146" si="3">$D$160*C142</f>
        <v>36.685479999999998</v>
      </c>
    </row>
    <row r="143" spans="1:4" x14ac:dyDescent="0.2">
      <c r="A143" s="32"/>
      <c r="B143" s="29" t="s">
        <v>96</v>
      </c>
      <c r="C143" s="9">
        <v>0.03</v>
      </c>
      <c r="D143" s="14">
        <f t="shared" si="3"/>
        <v>169.3176</v>
      </c>
    </row>
    <row r="144" spans="1:4" x14ac:dyDescent="0.2">
      <c r="A144" s="32"/>
      <c r="B144" s="29" t="s">
        <v>66</v>
      </c>
      <c r="C144" s="32"/>
      <c r="D144" s="14">
        <f t="shared" si="3"/>
        <v>0</v>
      </c>
    </row>
    <row r="145" spans="1:4" x14ac:dyDescent="0.2">
      <c r="A145" s="32"/>
      <c r="B145" s="29" t="s">
        <v>67</v>
      </c>
      <c r="C145" s="9"/>
      <c r="D145" s="14">
        <f t="shared" si="3"/>
        <v>0</v>
      </c>
    </row>
    <row r="146" spans="1:4" x14ac:dyDescent="0.2">
      <c r="A146" s="32"/>
      <c r="B146" s="29" t="s">
        <v>97</v>
      </c>
      <c r="C146" s="9">
        <v>0.05</v>
      </c>
      <c r="D146" s="14">
        <f t="shared" si="3"/>
        <v>282.19600000000003</v>
      </c>
    </row>
    <row r="147" spans="1:4" ht="13.5" x14ac:dyDescent="0.2">
      <c r="A147" s="108" t="s">
        <v>37</v>
      </c>
      <c r="B147" s="109"/>
      <c r="C147" s="21">
        <f>(1+C139)*(1+C138)/(1-C140)-1</f>
        <v>0.21839080459770144</v>
      </c>
      <c r="D147" s="19">
        <f>SUM(D138:D140)</f>
        <v>1011.6465701149423</v>
      </c>
    </row>
    <row r="150" spans="1:4" x14ac:dyDescent="0.2">
      <c r="A150" s="104" t="s">
        <v>68</v>
      </c>
      <c r="B150" s="104"/>
      <c r="C150" s="104"/>
      <c r="D150" s="104"/>
    </row>
    <row r="152" spans="1:4" x14ac:dyDescent="0.2">
      <c r="A152" s="30"/>
      <c r="B152" s="99" t="s">
        <v>69</v>
      </c>
      <c r="C152" s="99"/>
      <c r="D152" s="30" t="s">
        <v>3</v>
      </c>
    </row>
    <row r="153" spans="1:4" x14ac:dyDescent="0.2">
      <c r="A153" s="30" t="s">
        <v>4</v>
      </c>
      <c r="B153" s="100" t="s">
        <v>1</v>
      </c>
      <c r="C153" s="100"/>
      <c r="D153" s="22">
        <f>D35</f>
        <v>2209.06</v>
      </c>
    </row>
    <row r="154" spans="1:4" x14ac:dyDescent="0.2">
      <c r="A154" s="30" t="s">
        <v>6</v>
      </c>
      <c r="B154" s="100" t="s">
        <v>17</v>
      </c>
      <c r="C154" s="100"/>
      <c r="D154" s="22">
        <f>D79</f>
        <v>2174.0063999999998</v>
      </c>
    </row>
    <row r="155" spans="1:4" x14ac:dyDescent="0.2">
      <c r="A155" s="30" t="s">
        <v>8</v>
      </c>
      <c r="B155" s="100" t="s">
        <v>45</v>
      </c>
      <c r="C155" s="100"/>
      <c r="D155" s="22">
        <f>D91</f>
        <v>136.04000000000002</v>
      </c>
    </row>
    <row r="156" spans="1:4" x14ac:dyDescent="0.2">
      <c r="A156" s="30" t="s">
        <v>10</v>
      </c>
      <c r="B156" s="100" t="s">
        <v>50</v>
      </c>
      <c r="C156" s="100"/>
      <c r="D156" s="22">
        <f>D121</f>
        <v>87.25</v>
      </c>
    </row>
    <row r="157" spans="1:4" x14ac:dyDescent="0.2">
      <c r="A157" s="30" t="s">
        <v>12</v>
      </c>
      <c r="B157" s="100" t="s">
        <v>55</v>
      </c>
      <c r="C157" s="100"/>
      <c r="D157" s="22">
        <f>D132</f>
        <v>25.92</v>
      </c>
    </row>
    <row r="158" spans="1:4" x14ac:dyDescent="0.2">
      <c r="A158" s="99" t="s">
        <v>94</v>
      </c>
      <c r="B158" s="99"/>
      <c r="C158" s="99"/>
      <c r="D158" s="23">
        <f>SUM(D153:D157)</f>
        <v>4632.2763999999997</v>
      </c>
    </row>
    <row r="159" spans="1:4" x14ac:dyDescent="0.2">
      <c r="A159" s="30" t="s">
        <v>32</v>
      </c>
      <c r="B159" s="100" t="s">
        <v>70</v>
      </c>
      <c r="C159" s="100"/>
      <c r="D159" s="24">
        <f>D147</f>
        <v>1011.6465701149423</v>
      </c>
    </row>
    <row r="160" spans="1:4" x14ac:dyDescent="0.2">
      <c r="A160" s="99" t="s">
        <v>71</v>
      </c>
      <c r="B160" s="99"/>
      <c r="C160" s="99"/>
      <c r="D160" s="23">
        <f>ROUND(SUM(D158:D159),2)</f>
        <v>5643.92</v>
      </c>
    </row>
  </sheetData>
  <mergeCells count="75">
    <mergeCell ref="B156:C156"/>
    <mergeCell ref="B157:C157"/>
    <mergeCell ref="A158:C158"/>
    <mergeCell ref="B159:C159"/>
    <mergeCell ref="A160:C160"/>
    <mergeCell ref="B155:C155"/>
    <mergeCell ref="B120:C120"/>
    <mergeCell ref="A121:C121"/>
    <mergeCell ref="A124:D124"/>
    <mergeCell ref="B126:C126"/>
    <mergeCell ref="A132:C132"/>
    <mergeCell ref="A135:D135"/>
    <mergeCell ref="A147:B147"/>
    <mergeCell ref="A150:D150"/>
    <mergeCell ref="B152:C152"/>
    <mergeCell ref="B153:C153"/>
    <mergeCell ref="B154:C154"/>
    <mergeCell ref="B119:C119"/>
    <mergeCell ref="A91:C91"/>
    <mergeCell ref="A94:D94"/>
    <mergeCell ref="A97:D97"/>
    <mergeCell ref="B99:C99"/>
    <mergeCell ref="A106:C106"/>
    <mergeCell ref="A109:D109"/>
    <mergeCell ref="B111:C111"/>
    <mergeCell ref="B112:C112"/>
    <mergeCell ref="A113:C113"/>
    <mergeCell ref="A116:D116"/>
    <mergeCell ref="B118:C118"/>
    <mergeCell ref="B84:C84"/>
    <mergeCell ref="B67:C67"/>
    <mergeCell ref="B68:C68"/>
    <mergeCell ref="B69:C69"/>
    <mergeCell ref="A70:C70"/>
    <mergeCell ref="A73:D73"/>
    <mergeCell ref="B75:C75"/>
    <mergeCell ref="B76:C76"/>
    <mergeCell ref="B77:C77"/>
    <mergeCell ref="B78:C78"/>
    <mergeCell ref="A79:C79"/>
    <mergeCell ref="A82:D82"/>
    <mergeCell ref="B66:C66"/>
    <mergeCell ref="B34:C34"/>
    <mergeCell ref="A35:C35"/>
    <mergeCell ref="A38:D38"/>
    <mergeCell ref="A40:D40"/>
    <mergeCell ref="B42:C42"/>
    <mergeCell ref="A45:B45"/>
    <mergeCell ref="A48:D48"/>
    <mergeCell ref="A59:B59"/>
    <mergeCell ref="A62:D62"/>
    <mergeCell ref="B64:C64"/>
    <mergeCell ref="B65:C65"/>
    <mergeCell ref="B33:C33"/>
    <mergeCell ref="C20:D20"/>
    <mergeCell ref="C21:D21"/>
    <mergeCell ref="C22:D22"/>
    <mergeCell ref="C23:D23"/>
    <mergeCell ref="A25:D25"/>
    <mergeCell ref="B27:C27"/>
    <mergeCell ref="B28:C28"/>
    <mergeCell ref="B29:C29"/>
    <mergeCell ref="B30:C30"/>
    <mergeCell ref="B31:C31"/>
    <mergeCell ref="B32:C32"/>
    <mergeCell ref="C19:D19"/>
    <mergeCell ref="A1:D1"/>
    <mergeCell ref="A12:D12"/>
    <mergeCell ref="A14:B14"/>
    <mergeCell ref="A15:B15"/>
    <mergeCell ref="A17:D17"/>
    <mergeCell ref="A3:D3"/>
    <mergeCell ref="A5:D5"/>
    <mergeCell ref="B9:C9"/>
    <mergeCell ref="B10:C10"/>
  </mergeCells>
  <pageMargins left="0.51181102362204722" right="0.51181102362204722" top="0.78740157480314965" bottom="0.78740157480314965" header="0.31496062992125984" footer="0.31496062992125984"/>
  <pageSetup paperSize="9" scale="84" fitToHeight="0" orientation="portrait" r:id="rId1"/>
  <headerFooter>
    <oddHeader>&amp;C&amp;G</odd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60"/>
  <sheetViews>
    <sheetView topLeftCell="A53" zoomScale="115" zoomScaleNormal="115" workbookViewId="0">
      <selection activeCell="D130" sqref="D130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113" t="s">
        <v>0</v>
      </c>
      <c r="B1" s="113"/>
      <c r="C1" s="113"/>
      <c r="D1" s="113"/>
    </row>
    <row r="2" spans="1:4" ht="15.75" x14ac:dyDescent="0.25">
      <c r="A2" s="26"/>
      <c r="B2" s="26"/>
      <c r="C2" s="26"/>
      <c r="D2" s="26"/>
    </row>
    <row r="3" spans="1:4" x14ac:dyDescent="0.2">
      <c r="A3" s="90" t="s">
        <v>255</v>
      </c>
      <c r="B3" s="90"/>
      <c r="C3" s="90"/>
      <c r="D3" s="90"/>
    </row>
    <row r="4" spans="1:4" x14ac:dyDescent="0.2">
      <c r="A4" s="2"/>
      <c r="B4" s="2"/>
      <c r="C4" s="2"/>
      <c r="D4" s="2"/>
    </row>
    <row r="5" spans="1:4" x14ac:dyDescent="0.2">
      <c r="A5" s="91" t="s">
        <v>256</v>
      </c>
      <c r="B5" s="92"/>
      <c r="C5" s="92"/>
      <c r="D5" s="93"/>
    </row>
    <row r="6" spans="1:4" x14ac:dyDescent="0.2">
      <c r="A6" s="83" t="s">
        <v>4</v>
      </c>
      <c r="B6" s="84" t="s">
        <v>257</v>
      </c>
      <c r="C6" s="85"/>
      <c r="D6" s="86" t="s">
        <v>262</v>
      </c>
    </row>
    <row r="7" spans="1:4" x14ac:dyDescent="0.2">
      <c r="A7" s="83" t="s">
        <v>6</v>
      </c>
      <c r="B7" s="84" t="s">
        <v>258</v>
      </c>
      <c r="C7" s="85"/>
      <c r="D7" s="86" t="s">
        <v>263</v>
      </c>
    </row>
    <row r="8" spans="1:4" x14ac:dyDescent="0.2">
      <c r="A8" s="83" t="s">
        <v>8</v>
      </c>
      <c r="B8" s="84" t="s">
        <v>259</v>
      </c>
      <c r="C8" s="85"/>
      <c r="D8" s="87">
        <v>45785</v>
      </c>
    </row>
    <row r="9" spans="1:4" x14ac:dyDescent="0.2">
      <c r="A9" s="83" t="s">
        <v>10</v>
      </c>
      <c r="B9" s="94" t="s">
        <v>264</v>
      </c>
      <c r="C9" s="95"/>
      <c r="D9" s="86" t="s">
        <v>260</v>
      </c>
    </row>
    <row r="10" spans="1:4" x14ac:dyDescent="0.2">
      <c r="A10" s="83" t="s">
        <v>12</v>
      </c>
      <c r="B10" s="94" t="s">
        <v>265</v>
      </c>
      <c r="C10" s="95"/>
      <c r="D10" s="86" t="s">
        <v>261</v>
      </c>
    </row>
    <row r="12" spans="1:4" x14ac:dyDescent="0.2">
      <c r="A12" s="103" t="s">
        <v>88</v>
      </c>
      <c r="B12" s="103"/>
      <c r="C12" s="103"/>
      <c r="D12" s="103"/>
    </row>
    <row r="13" spans="1:4" x14ac:dyDescent="0.2">
      <c r="A13" s="2"/>
      <c r="B13" s="2"/>
      <c r="C13" s="2"/>
      <c r="D13" s="2"/>
    </row>
    <row r="14" spans="1:4" ht="38.25" x14ac:dyDescent="0.2">
      <c r="A14" s="115" t="s">
        <v>89</v>
      </c>
      <c r="B14" s="115"/>
      <c r="C14" s="32" t="s">
        <v>90</v>
      </c>
      <c r="D14" s="27" t="s">
        <v>91</v>
      </c>
    </row>
    <row r="15" spans="1:4" x14ac:dyDescent="0.2">
      <c r="A15" s="96" t="s">
        <v>111</v>
      </c>
      <c r="B15" s="96"/>
      <c r="C15" s="33" t="s">
        <v>101</v>
      </c>
      <c r="D15" s="33">
        <v>1</v>
      </c>
    </row>
    <row r="17" spans="1:4" x14ac:dyDescent="0.2">
      <c r="A17" s="103" t="s">
        <v>72</v>
      </c>
      <c r="B17" s="103"/>
      <c r="C17" s="103"/>
      <c r="D17" s="103"/>
    </row>
    <row r="18" spans="1:4" x14ac:dyDescent="0.2">
      <c r="A18" s="2"/>
      <c r="B18" s="2"/>
      <c r="C18" s="2"/>
      <c r="D18" s="2"/>
    </row>
    <row r="19" spans="1:4" x14ac:dyDescent="0.2">
      <c r="A19" s="5">
        <v>1</v>
      </c>
      <c r="B19" s="5" t="s">
        <v>73</v>
      </c>
      <c r="C19" s="97" t="s">
        <v>111</v>
      </c>
      <c r="D19" s="98"/>
    </row>
    <row r="20" spans="1:4" x14ac:dyDescent="0.2">
      <c r="A20" s="5">
        <v>2</v>
      </c>
      <c r="B20" s="5" t="s">
        <v>92</v>
      </c>
      <c r="C20" s="97" t="s">
        <v>112</v>
      </c>
      <c r="D20" s="98"/>
    </row>
    <row r="21" spans="1:4" x14ac:dyDescent="0.2">
      <c r="A21" s="5">
        <v>3</v>
      </c>
      <c r="B21" s="5" t="s">
        <v>74</v>
      </c>
      <c r="C21" s="101">
        <v>1592.26</v>
      </c>
      <c r="D21" s="102"/>
    </row>
    <row r="22" spans="1:4" x14ac:dyDescent="0.2">
      <c r="A22" s="5">
        <v>4</v>
      </c>
      <c r="B22" s="5" t="s">
        <v>75</v>
      </c>
      <c r="C22" s="97"/>
      <c r="D22" s="98"/>
    </row>
    <row r="23" spans="1:4" x14ac:dyDescent="0.2">
      <c r="A23" s="5">
        <v>5</v>
      </c>
      <c r="B23" s="5" t="s">
        <v>76</v>
      </c>
      <c r="C23" s="97"/>
      <c r="D23" s="98"/>
    </row>
    <row r="25" spans="1:4" x14ac:dyDescent="0.2">
      <c r="A25" s="103" t="s">
        <v>1</v>
      </c>
      <c r="B25" s="103"/>
      <c r="C25" s="103"/>
      <c r="D25" s="103"/>
    </row>
    <row r="27" spans="1:4" x14ac:dyDescent="0.2">
      <c r="A27" s="30">
        <v>1</v>
      </c>
      <c r="B27" s="99" t="s">
        <v>2</v>
      </c>
      <c r="C27" s="99"/>
      <c r="D27" s="30" t="s">
        <v>3</v>
      </c>
    </row>
    <row r="28" spans="1:4" x14ac:dyDescent="0.2">
      <c r="A28" s="32" t="s">
        <v>4</v>
      </c>
      <c r="B28" s="100" t="s">
        <v>5</v>
      </c>
      <c r="C28" s="100"/>
      <c r="D28" s="13">
        <v>1592.26</v>
      </c>
    </row>
    <row r="29" spans="1:4" x14ac:dyDescent="0.2">
      <c r="A29" s="32" t="s">
        <v>6</v>
      </c>
      <c r="B29" s="100" t="s">
        <v>7</v>
      </c>
      <c r="C29" s="100"/>
      <c r="D29" s="13"/>
    </row>
    <row r="30" spans="1:4" x14ac:dyDescent="0.2">
      <c r="A30" s="32" t="s">
        <v>8</v>
      </c>
      <c r="B30" s="100" t="s">
        <v>9</v>
      </c>
      <c r="C30" s="100"/>
      <c r="D30" s="13"/>
    </row>
    <row r="31" spans="1:4" x14ac:dyDescent="0.2">
      <c r="A31" s="32" t="s">
        <v>10</v>
      </c>
      <c r="B31" s="100" t="s">
        <v>11</v>
      </c>
      <c r="C31" s="100"/>
      <c r="D31" s="13"/>
    </row>
    <row r="32" spans="1:4" x14ac:dyDescent="0.2">
      <c r="A32" s="32" t="s">
        <v>12</v>
      </c>
      <c r="B32" s="100" t="s">
        <v>13</v>
      </c>
      <c r="C32" s="100"/>
      <c r="D32" s="13"/>
    </row>
    <row r="33" spans="1:4" x14ac:dyDescent="0.2">
      <c r="A33" s="32"/>
      <c r="B33" s="100"/>
      <c r="C33" s="100"/>
      <c r="D33" s="13"/>
    </row>
    <row r="34" spans="1:4" x14ac:dyDescent="0.2">
      <c r="A34" s="32" t="s">
        <v>14</v>
      </c>
      <c r="B34" s="100" t="s">
        <v>15</v>
      </c>
      <c r="C34" s="100"/>
      <c r="D34" s="13"/>
    </row>
    <row r="35" spans="1:4" x14ac:dyDescent="0.2">
      <c r="A35" s="99" t="s">
        <v>16</v>
      </c>
      <c r="B35" s="99"/>
      <c r="C35" s="99"/>
      <c r="D35" s="20">
        <f>SUM(D28:D34)</f>
        <v>1592.26</v>
      </c>
    </row>
    <row r="38" spans="1:4" x14ac:dyDescent="0.2">
      <c r="A38" s="104" t="s">
        <v>17</v>
      </c>
      <c r="B38" s="104"/>
      <c r="C38" s="104"/>
      <c r="D38" s="104"/>
    </row>
    <row r="39" spans="1:4" x14ac:dyDescent="0.2">
      <c r="A39" s="3"/>
    </row>
    <row r="40" spans="1:4" x14ac:dyDescent="0.2">
      <c r="A40" s="111" t="s">
        <v>18</v>
      </c>
      <c r="B40" s="111"/>
      <c r="C40" s="111"/>
      <c r="D40" s="111"/>
    </row>
    <row r="42" spans="1:4" x14ac:dyDescent="0.2">
      <c r="A42" s="30" t="s">
        <v>19</v>
      </c>
      <c r="B42" s="99" t="s">
        <v>20</v>
      </c>
      <c r="C42" s="99"/>
      <c r="D42" s="30" t="s">
        <v>3</v>
      </c>
    </row>
    <row r="43" spans="1:4" x14ac:dyDescent="0.2">
      <c r="A43" s="32" t="s">
        <v>4</v>
      </c>
      <c r="B43" s="29" t="s">
        <v>21</v>
      </c>
      <c r="C43" s="12">
        <f>TRUNC(1/12,4)</f>
        <v>8.3299999999999999E-2</v>
      </c>
      <c r="D43" s="13">
        <f>TRUNC($D$35*C43,2)</f>
        <v>132.63</v>
      </c>
    </row>
    <row r="44" spans="1:4" x14ac:dyDescent="0.2">
      <c r="A44" s="32" t="s">
        <v>6</v>
      </c>
      <c r="B44" s="29" t="s">
        <v>22</v>
      </c>
      <c r="C44" s="12">
        <f>TRUNC(((1+1/3)/12),4)</f>
        <v>0.1111</v>
      </c>
      <c r="D44" s="13">
        <f>TRUNC($D$35*C44,2)</f>
        <v>176.9</v>
      </c>
    </row>
    <row r="45" spans="1:4" x14ac:dyDescent="0.2">
      <c r="A45" s="99" t="s">
        <v>16</v>
      </c>
      <c r="B45" s="99"/>
      <c r="C45" s="28">
        <f>SUM(C43:C44)</f>
        <v>0.19440000000000002</v>
      </c>
      <c r="D45" s="19">
        <f>SUM(D43:D44)</f>
        <v>309.52999999999997</v>
      </c>
    </row>
    <row r="48" spans="1:4" x14ac:dyDescent="0.2">
      <c r="A48" s="114" t="s">
        <v>23</v>
      </c>
      <c r="B48" s="114"/>
      <c r="C48" s="114"/>
      <c r="D48" s="114"/>
    </row>
    <row r="50" spans="1:4" x14ac:dyDescent="0.2">
      <c r="A50" s="30" t="s">
        <v>24</v>
      </c>
      <c r="B50" s="30" t="s">
        <v>25</v>
      </c>
      <c r="C50" s="30" t="s">
        <v>26</v>
      </c>
      <c r="D50" s="30" t="s">
        <v>3</v>
      </c>
    </row>
    <row r="51" spans="1:4" x14ac:dyDescent="0.2">
      <c r="A51" s="32" t="s">
        <v>4</v>
      </c>
      <c r="B51" s="29" t="s">
        <v>27</v>
      </c>
      <c r="C51" s="9">
        <v>0.2</v>
      </c>
      <c r="D51" s="13">
        <f>TRUNC(($D$35+$D$45)*C51,2)</f>
        <v>380.35</v>
      </c>
    </row>
    <row r="52" spans="1:4" x14ac:dyDescent="0.2">
      <c r="A52" s="32" t="s">
        <v>6</v>
      </c>
      <c r="B52" s="29" t="s">
        <v>28</v>
      </c>
      <c r="C52" s="9">
        <v>2.5000000000000001E-2</v>
      </c>
      <c r="D52" s="13">
        <f t="shared" ref="D52:D58" si="0">TRUNC(($D$35+$D$45)*C52,2)</f>
        <v>47.54</v>
      </c>
    </row>
    <row r="53" spans="1:4" x14ac:dyDescent="0.2">
      <c r="A53" s="32" t="s">
        <v>8</v>
      </c>
      <c r="B53" s="29" t="s">
        <v>29</v>
      </c>
      <c r="C53" s="16">
        <v>0.03</v>
      </c>
      <c r="D53" s="13">
        <f t="shared" si="0"/>
        <v>57.05</v>
      </c>
    </row>
    <row r="54" spans="1:4" x14ac:dyDescent="0.2">
      <c r="A54" s="32" t="s">
        <v>10</v>
      </c>
      <c r="B54" s="29" t="s">
        <v>30</v>
      </c>
      <c r="C54" s="9">
        <v>1.4999999999999999E-2</v>
      </c>
      <c r="D54" s="13">
        <f t="shared" si="0"/>
        <v>28.52</v>
      </c>
    </row>
    <row r="55" spans="1:4" x14ac:dyDescent="0.2">
      <c r="A55" s="32" t="s">
        <v>12</v>
      </c>
      <c r="B55" s="29" t="s">
        <v>31</v>
      </c>
      <c r="C55" s="9">
        <v>0.01</v>
      </c>
      <c r="D55" s="13">
        <f t="shared" si="0"/>
        <v>19.010000000000002</v>
      </c>
    </row>
    <row r="56" spans="1:4" x14ac:dyDescent="0.2">
      <c r="A56" s="32" t="s">
        <v>32</v>
      </c>
      <c r="B56" s="29" t="s">
        <v>33</v>
      </c>
      <c r="C56" s="9">
        <v>6.0000000000000001E-3</v>
      </c>
      <c r="D56" s="13">
        <f t="shared" si="0"/>
        <v>11.41</v>
      </c>
    </row>
    <row r="57" spans="1:4" x14ac:dyDescent="0.2">
      <c r="A57" s="32" t="s">
        <v>14</v>
      </c>
      <c r="B57" s="29" t="s">
        <v>34</v>
      </c>
      <c r="C57" s="9">
        <v>2E-3</v>
      </c>
      <c r="D57" s="13">
        <f t="shared" si="0"/>
        <v>3.8</v>
      </c>
    </row>
    <row r="58" spans="1:4" x14ac:dyDescent="0.2">
      <c r="A58" s="32" t="s">
        <v>35</v>
      </c>
      <c r="B58" s="29" t="s">
        <v>36</v>
      </c>
      <c r="C58" s="9">
        <v>0.08</v>
      </c>
      <c r="D58" s="13">
        <f t="shared" si="0"/>
        <v>152.13999999999999</v>
      </c>
    </row>
    <row r="59" spans="1:4" x14ac:dyDescent="0.2">
      <c r="A59" s="99" t="s">
        <v>37</v>
      </c>
      <c r="B59" s="99"/>
      <c r="C59" s="15">
        <f>SUM(C51:C58)</f>
        <v>0.36800000000000005</v>
      </c>
      <c r="D59" s="19">
        <f>SUM(D51:D58)</f>
        <v>699.81999999999994</v>
      </c>
    </row>
    <row r="62" spans="1:4" x14ac:dyDescent="0.2">
      <c r="A62" s="111" t="s">
        <v>38</v>
      </c>
      <c r="B62" s="111"/>
      <c r="C62" s="111"/>
      <c r="D62" s="111"/>
    </row>
    <row r="64" spans="1:4" x14ac:dyDescent="0.2">
      <c r="A64" s="30" t="s">
        <v>39</v>
      </c>
      <c r="B64" s="110" t="s">
        <v>40</v>
      </c>
      <c r="C64" s="110"/>
      <c r="D64" s="30" t="s">
        <v>3</v>
      </c>
    </row>
    <row r="65" spans="1:5" x14ac:dyDescent="0.2">
      <c r="A65" s="32" t="s">
        <v>4</v>
      </c>
      <c r="B65" s="100" t="s">
        <v>41</v>
      </c>
      <c r="C65" s="100"/>
      <c r="D65" s="13">
        <f>IF((22*2*5.6)-(D28*0.06)&gt;0,(22*2*5.6)-(D28*0.06),0)</f>
        <v>150.86439999999999</v>
      </c>
    </row>
    <row r="66" spans="1:5" x14ac:dyDescent="0.2">
      <c r="A66" s="32" t="s">
        <v>6</v>
      </c>
      <c r="B66" s="100" t="s">
        <v>42</v>
      </c>
      <c r="C66" s="100"/>
      <c r="D66" s="13">
        <f>20*0.8*22</f>
        <v>352</v>
      </c>
    </row>
    <row r="67" spans="1:5" x14ac:dyDescent="0.2">
      <c r="A67" s="32" t="s">
        <v>8</v>
      </c>
      <c r="B67" s="100" t="s">
        <v>103</v>
      </c>
      <c r="C67" s="100"/>
      <c r="D67" s="13">
        <v>280</v>
      </c>
    </row>
    <row r="68" spans="1:5" x14ac:dyDescent="0.2">
      <c r="A68" s="32" t="s">
        <v>10</v>
      </c>
      <c r="B68" s="100" t="s">
        <v>104</v>
      </c>
      <c r="C68" s="100"/>
      <c r="D68" s="13">
        <v>23</v>
      </c>
    </row>
    <row r="69" spans="1:5" x14ac:dyDescent="0.2">
      <c r="A69" s="32" t="s">
        <v>12</v>
      </c>
      <c r="B69" s="100" t="s">
        <v>105</v>
      </c>
      <c r="C69" s="100"/>
      <c r="D69" s="13">
        <v>4.8</v>
      </c>
    </row>
    <row r="70" spans="1:5" x14ac:dyDescent="0.2">
      <c r="A70" s="99" t="s">
        <v>16</v>
      </c>
      <c r="B70" s="99"/>
      <c r="C70" s="99"/>
      <c r="D70" s="19">
        <f>SUM(D65:D69)</f>
        <v>810.66439999999989</v>
      </c>
    </row>
    <row r="71" spans="1:5" x14ac:dyDescent="0.2">
      <c r="E71" s="18"/>
    </row>
    <row r="73" spans="1:5" x14ac:dyDescent="0.2">
      <c r="A73" s="111" t="s">
        <v>43</v>
      </c>
      <c r="B73" s="111"/>
      <c r="C73" s="111"/>
      <c r="D73" s="111"/>
      <c r="E73" s="17"/>
    </row>
    <row r="74" spans="1:5" ht="12.75" customHeight="1" x14ac:dyDescent="0.2">
      <c r="E74" s="18"/>
    </row>
    <row r="75" spans="1:5" x14ac:dyDescent="0.2">
      <c r="A75" s="30">
        <v>2</v>
      </c>
      <c r="B75" s="110" t="s">
        <v>44</v>
      </c>
      <c r="C75" s="110"/>
      <c r="D75" s="30" t="s">
        <v>3</v>
      </c>
    </row>
    <row r="76" spans="1:5" x14ac:dyDescent="0.2">
      <c r="A76" s="32" t="s">
        <v>19</v>
      </c>
      <c r="B76" s="100" t="s">
        <v>20</v>
      </c>
      <c r="C76" s="100"/>
      <c r="D76" s="14">
        <f>D45</f>
        <v>309.52999999999997</v>
      </c>
    </row>
    <row r="77" spans="1:5" x14ac:dyDescent="0.2">
      <c r="A77" s="32" t="s">
        <v>24</v>
      </c>
      <c r="B77" s="100" t="s">
        <v>25</v>
      </c>
      <c r="C77" s="100"/>
      <c r="D77" s="14">
        <f>D59</f>
        <v>699.81999999999994</v>
      </c>
    </row>
    <row r="78" spans="1:5" x14ac:dyDescent="0.2">
      <c r="A78" s="32" t="s">
        <v>39</v>
      </c>
      <c r="B78" s="100" t="s">
        <v>40</v>
      </c>
      <c r="C78" s="100"/>
      <c r="D78" s="14">
        <f>D70</f>
        <v>810.66439999999989</v>
      </c>
    </row>
    <row r="79" spans="1:5" x14ac:dyDescent="0.2">
      <c r="A79" s="99" t="s">
        <v>16</v>
      </c>
      <c r="B79" s="99"/>
      <c r="C79" s="99"/>
      <c r="D79" s="19">
        <f>SUM(D76:D78)</f>
        <v>1820.0143999999998</v>
      </c>
    </row>
    <row r="80" spans="1:5" x14ac:dyDescent="0.2">
      <c r="A80" s="4"/>
    </row>
    <row r="82" spans="1:4" x14ac:dyDescent="0.2">
      <c r="A82" s="104" t="s">
        <v>45</v>
      </c>
      <c r="B82" s="104"/>
      <c r="C82" s="104"/>
      <c r="D82" s="104"/>
    </row>
    <row r="84" spans="1:4" x14ac:dyDescent="0.2">
      <c r="A84" s="30">
        <v>3</v>
      </c>
      <c r="B84" s="110" t="s">
        <v>46</v>
      </c>
      <c r="C84" s="110"/>
      <c r="D84" s="30" t="s">
        <v>3</v>
      </c>
    </row>
    <row r="85" spans="1:4" x14ac:dyDescent="0.2">
      <c r="A85" s="32" t="s">
        <v>4</v>
      </c>
      <c r="B85" s="10" t="s">
        <v>47</v>
      </c>
      <c r="C85" s="9">
        <f>TRUNC(((1/12)*5%),4)</f>
        <v>4.1000000000000003E-3</v>
      </c>
      <c r="D85" s="13">
        <f>TRUNC($D$35*C85,2)</f>
        <v>6.52</v>
      </c>
    </row>
    <row r="86" spans="1:4" x14ac:dyDescent="0.2">
      <c r="A86" s="32" t="s">
        <v>6</v>
      </c>
      <c r="B86" s="10" t="s">
        <v>48</v>
      </c>
      <c r="C86" s="9">
        <v>0.08</v>
      </c>
      <c r="D86" s="13">
        <f>TRUNC(D85*C86,2)</f>
        <v>0.52</v>
      </c>
    </row>
    <row r="87" spans="1:4" x14ac:dyDescent="0.2">
      <c r="A87" s="32" t="s">
        <v>8</v>
      </c>
      <c r="B87" s="10" t="s">
        <v>98</v>
      </c>
      <c r="C87" s="9">
        <f>TRUNC(8%*5%*40%,4)</f>
        <v>1.6000000000000001E-3</v>
      </c>
      <c r="D87" s="13">
        <f>TRUNC($D$35*C87,2)</f>
        <v>2.54</v>
      </c>
    </row>
    <row r="88" spans="1:4" x14ac:dyDescent="0.2">
      <c r="A88" s="32" t="s">
        <v>10</v>
      </c>
      <c r="B88" s="10" t="s">
        <v>49</v>
      </c>
      <c r="C88" s="9">
        <f>TRUNC(((7/30)/12)*95%,4)</f>
        <v>1.84E-2</v>
      </c>
      <c r="D88" s="13">
        <f>TRUNC($D$35*C88,2)</f>
        <v>29.29</v>
      </c>
    </row>
    <row r="89" spans="1:4" ht="25.5" x14ac:dyDescent="0.2">
      <c r="A89" s="32" t="s">
        <v>12</v>
      </c>
      <c r="B89" s="10" t="s">
        <v>93</v>
      </c>
      <c r="C89" s="9">
        <f>C59</f>
        <v>0.36800000000000005</v>
      </c>
      <c r="D89" s="13">
        <f>TRUNC(D88*C89,2)</f>
        <v>10.77</v>
      </c>
    </row>
    <row r="90" spans="1:4" x14ac:dyDescent="0.2">
      <c r="A90" s="32" t="s">
        <v>32</v>
      </c>
      <c r="B90" s="10" t="s">
        <v>99</v>
      </c>
      <c r="C90" s="9">
        <f>TRUNC(8%*95%*40%,4)</f>
        <v>3.04E-2</v>
      </c>
      <c r="D90" s="13">
        <f t="shared" ref="D90" si="1">TRUNC($D$35*C90,2)</f>
        <v>48.4</v>
      </c>
    </row>
    <row r="91" spans="1:4" x14ac:dyDescent="0.2">
      <c r="A91" s="108" t="s">
        <v>16</v>
      </c>
      <c r="B91" s="109"/>
      <c r="C91" s="112"/>
      <c r="D91" s="19">
        <f>SUM(D85:D90)</f>
        <v>98.039999999999992</v>
      </c>
    </row>
    <row r="94" spans="1:4" x14ac:dyDescent="0.2">
      <c r="A94" s="104" t="s">
        <v>50</v>
      </c>
      <c r="B94" s="104"/>
      <c r="C94" s="104"/>
      <c r="D94" s="104"/>
    </row>
    <row r="97" spans="1:6" x14ac:dyDescent="0.2">
      <c r="A97" s="111" t="s">
        <v>77</v>
      </c>
      <c r="B97" s="111"/>
      <c r="C97" s="111"/>
      <c r="D97" s="111"/>
      <c r="E97" s="17"/>
      <c r="F97" s="17"/>
    </row>
    <row r="98" spans="1:6" x14ac:dyDescent="0.2">
      <c r="A98" s="3"/>
    </row>
    <row r="99" spans="1:6" x14ac:dyDescent="0.2">
      <c r="A99" s="30" t="s">
        <v>51</v>
      </c>
      <c r="B99" s="110" t="s">
        <v>78</v>
      </c>
      <c r="C99" s="110"/>
      <c r="D99" s="30" t="s">
        <v>3</v>
      </c>
    </row>
    <row r="100" spans="1:6" x14ac:dyDescent="0.2">
      <c r="A100" s="32" t="s">
        <v>4</v>
      </c>
      <c r="B100" s="29" t="s">
        <v>79</v>
      </c>
      <c r="C100" s="9">
        <f>TRUNC(((1+1/3)/12)/12,4)</f>
        <v>9.1999999999999998E-3</v>
      </c>
      <c r="D100" s="13">
        <f>TRUNC(($D$35+$D$79+$D$91)*C100,2)</f>
        <v>32.29</v>
      </c>
    </row>
    <row r="101" spans="1:6" x14ac:dyDescent="0.2">
      <c r="A101" s="32" t="s">
        <v>6</v>
      </c>
      <c r="B101" s="29" t="s">
        <v>80</v>
      </c>
      <c r="C101" s="9">
        <f>TRUNC(((2/30)/12),4)</f>
        <v>5.4999999999999997E-3</v>
      </c>
      <c r="D101" s="13">
        <f t="shared" ref="D101:D105" si="2">TRUNC(($D$35+$D$79+$D$91)*C101,2)</f>
        <v>19.3</v>
      </c>
    </row>
    <row r="102" spans="1:6" x14ac:dyDescent="0.2">
      <c r="A102" s="32" t="s">
        <v>8</v>
      </c>
      <c r="B102" s="29" t="s">
        <v>81</v>
      </c>
      <c r="C102" s="9">
        <f>TRUNC(((5/30)/12)*2%,4)</f>
        <v>2.0000000000000001E-4</v>
      </c>
      <c r="D102" s="13">
        <f t="shared" si="2"/>
        <v>0.7</v>
      </c>
    </row>
    <row r="103" spans="1:6" x14ac:dyDescent="0.2">
      <c r="A103" s="32" t="s">
        <v>10</v>
      </c>
      <c r="B103" s="29" t="s">
        <v>82</v>
      </c>
      <c r="C103" s="9">
        <f>TRUNC(((15/30)/12)*8%,4)</f>
        <v>3.3E-3</v>
      </c>
      <c r="D103" s="13">
        <f t="shared" si="2"/>
        <v>11.58</v>
      </c>
    </row>
    <row r="104" spans="1:6" x14ac:dyDescent="0.2">
      <c r="A104" s="32" t="s">
        <v>12</v>
      </c>
      <c r="B104" s="29" t="s">
        <v>83</v>
      </c>
      <c r="C104" s="9">
        <f>((1+1/3)/12)*3%*(4/12)</f>
        <v>1.1111111111111109E-3</v>
      </c>
      <c r="D104" s="13">
        <f t="shared" si="2"/>
        <v>3.9</v>
      </c>
    </row>
    <row r="105" spans="1:6" x14ac:dyDescent="0.2">
      <c r="A105" s="32" t="s">
        <v>32</v>
      </c>
      <c r="B105" s="29" t="s">
        <v>84</v>
      </c>
      <c r="C105" s="9"/>
      <c r="D105" s="13">
        <f t="shared" si="2"/>
        <v>0</v>
      </c>
    </row>
    <row r="106" spans="1:6" x14ac:dyDescent="0.2">
      <c r="A106" s="99" t="s">
        <v>37</v>
      </c>
      <c r="B106" s="99"/>
      <c r="C106" s="99"/>
      <c r="D106" s="19">
        <f>SUM(D100:D105)</f>
        <v>67.77000000000001</v>
      </c>
    </row>
    <row r="109" spans="1:6" x14ac:dyDescent="0.2">
      <c r="A109" s="111" t="s">
        <v>85</v>
      </c>
      <c r="B109" s="111"/>
      <c r="C109" s="111"/>
      <c r="D109" s="111"/>
    </row>
    <row r="110" spans="1:6" x14ac:dyDescent="0.2">
      <c r="A110" s="3"/>
    </row>
    <row r="111" spans="1:6" x14ac:dyDescent="0.2">
      <c r="A111" s="30" t="s">
        <v>52</v>
      </c>
      <c r="B111" s="110" t="s">
        <v>86</v>
      </c>
      <c r="C111" s="110"/>
      <c r="D111" s="30" t="s">
        <v>3</v>
      </c>
    </row>
    <row r="112" spans="1:6" x14ac:dyDescent="0.2">
      <c r="A112" s="32" t="s">
        <v>4</v>
      </c>
      <c r="B112" s="105" t="s">
        <v>87</v>
      </c>
      <c r="C112" s="106"/>
      <c r="D112" s="13">
        <f>((D35+D79+D91)/220)*22*0</f>
        <v>0</v>
      </c>
    </row>
    <row r="113" spans="1:4" x14ac:dyDescent="0.2">
      <c r="A113" s="99" t="s">
        <v>16</v>
      </c>
      <c r="B113" s="99"/>
      <c r="C113" s="99"/>
      <c r="D113" s="19">
        <f>SUM(D112)</f>
        <v>0</v>
      </c>
    </row>
    <row r="116" spans="1:4" x14ac:dyDescent="0.2">
      <c r="A116" s="111" t="s">
        <v>53</v>
      </c>
      <c r="B116" s="111"/>
      <c r="C116" s="111"/>
      <c r="D116" s="111"/>
    </row>
    <row r="117" spans="1:4" x14ac:dyDescent="0.2">
      <c r="A117" s="3"/>
    </row>
    <row r="118" spans="1:4" x14ac:dyDescent="0.2">
      <c r="A118" s="30">
        <v>4</v>
      </c>
      <c r="B118" s="99" t="s">
        <v>54</v>
      </c>
      <c r="C118" s="99"/>
      <c r="D118" s="30" t="s">
        <v>3</v>
      </c>
    </row>
    <row r="119" spans="1:4" x14ac:dyDescent="0.2">
      <c r="A119" s="32" t="s">
        <v>51</v>
      </c>
      <c r="B119" s="100" t="s">
        <v>78</v>
      </c>
      <c r="C119" s="100"/>
      <c r="D119" s="14">
        <f>D106</f>
        <v>67.77000000000001</v>
      </c>
    </row>
    <row r="120" spans="1:4" x14ac:dyDescent="0.2">
      <c r="A120" s="32" t="s">
        <v>52</v>
      </c>
      <c r="B120" s="100" t="s">
        <v>86</v>
      </c>
      <c r="C120" s="100"/>
      <c r="D120" s="14">
        <f>D113</f>
        <v>0</v>
      </c>
    </row>
    <row r="121" spans="1:4" x14ac:dyDescent="0.2">
      <c r="A121" s="99" t="s">
        <v>16</v>
      </c>
      <c r="B121" s="99"/>
      <c r="C121" s="99"/>
      <c r="D121" s="19">
        <f>SUM(D119:D120)</f>
        <v>67.77000000000001</v>
      </c>
    </row>
    <row r="124" spans="1:4" x14ac:dyDescent="0.2">
      <c r="A124" s="104" t="s">
        <v>55</v>
      </c>
      <c r="B124" s="104"/>
      <c r="C124" s="104"/>
      <c r="D124" s="104"/>
    </row>
    <row r="126" spans="1:4" x14ac:dyDescent="0.2">
      <c r="A126" s="30">
        <v>5</v>
      </c>
      <c r="B126" s="107" t="s">
        <v>56</v>
      </c>
      <c r="C126" s="107"/>
      <c r="D126" s="30" t="s">
        <v>3</v>
      </c>
    </row>
    <row r="127" spans="1:4" x14ac:dyDescent="0.2">
      <c r="A127" s="32" t="s">
        <v>4</v>
      </c>
      <c r="B127" s="29" t="s">
        <v>57</v>
      </c>
      <c r="C127" s="29"/>
      <c r="D127" s="13">
        <v>7.94</v>
      </c>
    </row>
    <row r="128" spans="1:4" x14ac:dyDescent="0.2">
      <c r="A128" s="32" t="s">
        <v>6</v>
      </c>
      <c r="B128" s="29" t="s">
        <v>58</v>
      </c>
      <c r="C128" s="29"/>
      <c r="D128" s="13">
        <v>0</v>
      </c>
    </row>
    <row r="129" spans="1:4" x14ac:dyDescent="0.2">
      <c r="A129" s="32" t="s">
        <v>8</v>
      </c>
      <c r="B129" s="29" t="s">
        <v>59</v>
      </c>
      <c r="C129" s="29"/>
      <c r="D129" s="13">
        <v>18.399999999999999</v>
      </c>
    </row>
    <row r="130" spans="1:4" x14ac:dyDescent="0.2">
      <c r="A130" s="32" t="s">
        <v>10</v>
      </c>
      <c r="B130" s="29" t="s">
        <v>106</v>
      </c>
      <c r="C130" s="29"/>
      <c r="D130" s="13">
        <f>19.11+1.58</f>
        <v>20.689999999999998</v>
      </c>
    </row>
    <row r="131" spans="1:4" x14ac:dyDescent="0.2">
      <c r="A131" s="89" t="s">
        <v>12</v>
      </c>
      <c r="B131" s="88" t="s">
        <v>268</v>
      </c>
      <c r="C131" s="88"/>
      <c r="D131" s="13">
        <v>0.28000000000000003</v>
      </c>
    </row>
    <row r="132" spans="1:4" x14ac:dyDescent="0.2">
      <c r="A132" s="99" t="s">
        <v>37</v>
      </c>
      <c r="B132" s="99"/>
      <c r="C132" s="99"/>
      <c r="D132" s="20">
        <f>SUM(D127:D131)</f>
        <v>47.31</v>
      </c>
    </row>
    <row r="135" spans="1:4" x14ac:dyDescent="0.2">
      <c r="A135" s="104" t="s">
        <v>60</v>
      </c>
      <c r="B135" s="104"/>
      <c r="C135" s="104"/>
      <c r="D135" s="104"/>
    </row>
    <row r="137" spans="1:4" x14ac:dyDescent="0.2">
      <c r="A137" s="30">
        <v>6</v>
      </c>
      <c r="B137" s="31" t="s">
        <v>61</v>
      </c>
      <c r="C137" s="30" t="s">
        <v>26</v>
      </c>
      <c r="D137" s="30" t="s">
        <v>3</v>
      </c>
    </row>
    <row r="138" spans="1:4" x14ac:dyDescent="0.2">
      <c r="A138" s="32" t="s">
        <v>4</v>
      </c>
      <c r="B138" s="29" t="s">
        <v>62</v>
      </c>
      <c r="C138" s="9">
        <v>0.05</v>
      </c>
      <c r="D138" s="14">
        <f>D158*C138</f>
        <v>181.26972000000001</v>
      </c>
    </row>
    <row r="139" spans="1:4" x14ac:dyDescent="0.2">
      <c r="A139" s="32" t="s">
        <v>6</v>
      </c>
      <c r="B139" s="29" t="s">
        <v>63</v>
      </c>
      <c r="C139" s="9">
        <v>0.06</v>
      </c>
      <c r="D139" s="13">
        <f>(D158+D138)*C139</f>
        <v>228.39984719999995</v>
      </c>
    </row>
    <row r="140" spans="1:4" x14ac:dyDescent="0.2">
      <c r="A140" s="32" t="s">
        <v>8</v>
      </c>
      <c r="B140" s="29" t="s">
        <v>64</v>
      </c>
      <c r="C140" s="12">
        <f>SUM(C141:C146)</f>
        <v>8.6499999999999994E-2</v>
      </c>
      <c r="D140" s="13">
        <f>(D158+D138+D139)*C140/(1-C140)</f>
        <v>382.08323279999996</v>
      </c>
    </row>
    <row r="141" spans="1:4" x14ac:dyDescent="0.2">
      <c r="A141" s="32"/>
      <c r="B141" s="29" t="s">
        <v>65</v>
      </c>
      <c r="C141" s="9"/>
      <c r="D141" s="14">
        <f>$D$160*C141</f>
        <v>0</v>
      </c>
    </row>
    <row r="142" spans="1:4" x14ac:dyDescent="0.2">
      <c r="A142" s="32"/>
      <c r="B142" s="29" t="s">
        <v>95</v>
      </c>
      <c r="C142" s="9">
        <v>6.4999999999999997E-3</v>
      </c>
      <c r="D142" s="14">
        <f t="shared" ref="D142:D146" si="3">$D$160*C142</f>
        <v>28.711474999999997</v>
      </c>
    </row>
    <row r="143" spans="1:4" x14ac:dyDescent="0.2">
      <c r="A143" s="32"/>
      <c r="B143" s="29" t="s">
        <v>96</v>
      </c>
      <c r="C143" s="9">
        <v>0.03</v>
      </c>
      <c r="D143" s="14">
        <f t="shared" si="3"/>
        <v>132.5145</v>
      </c>
    </row>
    <row r="144" spans="1:4" x14ac:dyDescent="0.2">
      <c r="A144" s="32"/>
      <c r="B144" s="29" t="s">
        <v>66</v>
      </c>
      <c r="C144" s="32"/>
      <c r="D144" s="14">
        <f t="shared" si="3"/>
        <v>0</v>
      </c>
    </row>
    <row r="145" spans="1:4" x14ac:dyDescent="0.2">
      <c r="A145" s="32"/>
      <c r="B145" s="29" t="s">
        <v>67</v>
      </c>
      <c r="C145" s="9"/>
      <c r="D145" s="14">
        <f t="shared" si="3"/>
        <v>0</v>
      </c>
    </row>
    <row r="146" spans="1:4" x14ac:dyDescent="0.2">
      <c r="A146" s="32"/>
      <c r="B146" s="29" t="s">
        <v>97</v>
      </c>
      <c r="C146" s="9">
        <v>0.05</v>
      </c>
      <c r="D146" s="14">
        <f t="shared" si="3"/>
        <v>220.85749999999999</v>
      </c>
    </row>
    <row r="147" spans="1:4" ht="13.5" x14ac:dyDescent="0.2">
      <c r="A147" s="108" t="s">
        <v>37</v>
      </c>
      <c r="B147" s="109"/>
      <c r="C147" s="21">
        <f>(1+C139)*(1+C138)/(1-C140)-1</f>
        <v>0.21839080459770144</v>
      </c>
      <c r="D147" s="19">
        <f>SUM(D138:D140)</f>
        <v>791.75279999999998</v>
      </c>
    </row>
    <row r="150" spans="1:4" x14ac:dyDescent="0.2">
      <c r="A150" s="104" t="s">
        <v>68</v>
      </c>
      <c r="B150" s="104"/>
      <c r="C150" s="104"/>
      <c r="D150" s="104"/>
    </row>
    <row r="152" spans="1:4" x14ac:dyDescent="0.2">
      <c r="A152" s="30"/>
      <c r="B152" s="99" t="s">
        <v>69</v>
      </c>
      <c r="C152" s="99"/>
      <c r="D152" s="30" t="s">
        <v>3</v>
      </c>
    </row>
    <row r="153" spans="1:4" x14ac:dyDescent="0.2">
      <c r="A153" s="30" t="s">
        <v>4</v>
      </c>
      <c r="B153" s="100" t="s">
        <v>1</v>
      </c>
      <c r="C153" s="100"/>
      <c r="D153" s="22">
        <f>D35</f>
        <v>1592.26</v>
      </c>
    </row>
    <row r="154" spans="1:4" x14ac:dyDescent="0.2">
      <c r="A154" s="30" t="s">
        <v>6</v>
      </c>
      <c r="B154" s="100" t="s">
        <v>17</v>
      </c>
      <c r="C154" s="100"/>
      <c r="D154" s="22">
        <f>D79</f>
        <v>1820.0143999999998</v>
      </c>
    </row>
    <row r="155" spans="1:4" x14ac:dyDescent="0.2">
      <c r="A155" s="30" t="s">
        <v>8</v>
      </c>
      <c r="B155" s="100" t="s">
        <v>45</v>
      </c>
      <c r="C155" s="100"/>
      <c r="D155" s="22">
        <f>D91</f>
        <v>98.039999999999992</v>
      </c>
    </row>
    <row r="156" spans="1:4" x14ac:dyDescent="0.2">
      <c r="A156" s="30" t="s">
        <v>10</v>
      </c>
      <c r="B156" s="100" t="s">
        <v>50</v>
      </c>
      <c r="C156" s="100"/>
      <c r="D156" s="22">
        <f>D121</f>
        <v>67.77000000000001</v>
      </c>
    </row>
    <row r="157" spans="1:4" x14ac:dyDescent="0.2">
      <c r="A157" s="30" t="s">
        <v>12</v>
      </c>
      <c r="B157" s="100" t="s">
        <v>55</v>
      </c>
      <c r="C157" s="100"/>
      <c r="D157" s="22">
        <f>D132</f>
        <v>47.31</v>
      </c>
    </row>
    <row r="158" spans="1:4" x14ac:dyDescent="0.2">
      <c r="A158" s="99" t="s">
        <v>94</v>
      </c>
      <c r="B158" s="99"/>
      <c r="C158" s="99"/>
      <c r="D158" s="23">
        <f>SUM(D153:D157)</f>
        <v>3625.3943999999997</v>
      </c>
    </row>
    <row r="159" spans="1:4" x14ac:dyDescent="0.2">
      <c r="A159" s="30" t="s">
        <v>32</v>
      </c>
      <c r="B159" s="100" t="s">
        <v>70</v>
      </c>
      <c r="C159" s="100"/>
      <c r="D159" s="24">
        <f>D147</f>
        <v>791.75279999999998</v>
      </c>
    </row>
    <row r="160" spans="1:4" x14ac:dyDescent="0.2">
      <c r="A160" s="99" t="s">
        <v>71</v>
      </c>
      <c r="B160" s="99"/>
      <c r="C160" s="99"/>
      <c r="D160" s="23">
        <f>ROUND(SUM(D158:D159),2)</f>
        <v>4417.1499999999996</v>
      </c>
    </row>
  </sheetData>
  <mergeCells count="75">
    <mergeCell ref="B156:C156"/>
    <mergeCell ref="B157:C157"/>
    <mergeCell ref="A158:C158"/>
    <mergeCell ref="B159:C159"/>
    <mergeCell ref="A160:C160"/>
    <mergeCell ref="B155:C155"/>
    <mergeCell ref="B120:C120"/>
    <mergeCell ref="A121:C121"/>
    <mergeCell ref="A124:D124"/>
    <mergeCell ref="B126:C126"/>
    <mergeCell ref="A132:C132"/>
    <mergeCell ref="A135:D135"/>
    <mergeCell ref="A147:B147"/>
    <mergeCell ref="A150:D150"/>
    <mergeCell ref="B152:C152"/>
    <mergeCell ref="B153:C153"/>
    <mergeCell ref="B154:C154"/>
    <mergeCell ref="B119:C119"/>
    <mergeCell ref="A91:C91"/>
    <mergeCell ref="A94:D94"/>
    <mergeCell ref="A97:D97"/>
    <mergeCell ref="B99:C99"/>
    <mergeCell ref="A106:C106"/>
    <mergeCell ref="A109:D109"/>
    <mergeCell ref="B111:C111"/>
    <mergeCell ref="B112:C112"/>
    <mergeCell ref="A113:C113"/>
    <mergeCell ref="A116:D116"/>
    <mergeCell ref="B118:C118"/>
    <mergeCell ref="B84:C84"/>
    <mergeCell ref="B67:C67"/>
    <mergeCell ref="B68:C68"/>
    <mergeCell ref="B69:C69"/>
    <mergeCell ref="A70:C70"/>
    <mergeCell ref="A73:D73"/>
    <mergeCell ref="B75:C75"/>
    <mergeCell ref="B76:C76"/>
    <mergeCell ref="B77:C77"/>
    <mergeCell ref="B78:C78"/>
    <mergeCell ref="A79:C79"/>
    <mergeCell ref="A82:D82"/>
    <mergeCell ref="B66:C66"/>
    <mergeCell ref="B34:C34"/>
    <mergeCell ref="A35:C35"/>
    <mergeCell ref="A38:D38"/>
    <mergeCell ref="A40:D40"/>
    <mergeCell ref="B42:C42"/>
    <mergeCell ref="A45:B45"/>
    <mergeCell ref="A48:D48"/>
    <mergeCell ref="A59:B59"/>
    <mergeCell ref="A62:D62"/>
    <mergeCell ref="B64:C64"/>
    <mergeCell ref="B65:C65"/>
    <mergeCell ref="B33:C33"/>
    <mergeCell ref="C20:D20"/>
    <mergeCell ref="C21:D21"/>
    <mergeCell ref="C22:D22"/>
    <mergeCell ref="C23:D23"/>
    <mergeCell ref="A25:D25"/>
    <mergeCell ref="B27:C27"/>
    <mergeCell ref="B28:C28"/>
    <mergeCell ref="B29:C29"/>
    <mergeCell ref="B30:C30"/>
    <mergeCell ref="B31:C31"/>
    <mergeCell ref="B32:C32"/>
    <mergeCell ref="C19:D19"/>
    <mergeCell ref="A1:D1"/>
    <mergeCell ref="A12:D12"/>
    <mergeCell ref="A14:B14"/>
    <mergeCell ref="A15:B15"/>
    <mergeCell ref="A17:D17"/>
    <mergeCell ref="A3:D3"/>
    <mergeCell ref="A5:D5"/>
    <mergeCell ref="B9:C9"/>
    <mergeCell ref="B10:C10"/>
  </mergeCells>
  <pageMargins left="0.51181102362204722" right="0.51181102362204722" top="0.78740157480314965" bottom="0.78740157480314965" header="0.31496062992125984" footer="0.31496062992125984"/>
  <pageSetup paperSize="9" scale="84" fitToHeight="0" orientation="portrait" r:id="rId1"/>
  <headerFooter>
    <oddHeader>&amp;C&amp;G</oddHead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60"/>
  <sheetViews>
    <sheetView zoomScale="115" zoomScaleNormal="115" workbookViewId="0">
      <selection activeCell="D132" sqref="D132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113" t="s">
        <v>0</v>
      </c>
      <c r="B1" s="113"/>
      <c r="C1" s="113"/>
      <c r="D1" s="113"/>
    </row>
    <row r="2" spans="1:4" ht="15.75" x14ac:dyDescent="0.25">
      <c r="A2" s="26"/>
      <c r="B2" s="26"/>
      <c r="C2" s="26"/>
      <c r="D2" s="26"/>
    </row>
    <row r="3" spans="1:4" x14ac:dyDescent="0.2">
      <c r="A3" s="90" t="s">
        <v>255</v>
      </c>
      <c r="B3" s="90"/>
      <c r="C3" s="90"/>
      <c r="D3" s="90"/>
    </row>
    <row r="4" spans="1:4" x14ac:dyDescent="0.2">
      <c r="A4" s="2"/>
      <c r="B4" s="2"/>
      <c r="C4" s="2"/>
      <c r="D4" s="2"/>
    </row>
    <row r="5" spans="1:4" x14ac:dyDescent="0.2">
      <c r="A5" s="91" t="s">
        <v>256</v>
      </c>
      <c r="B5" s="92"/>
      <c r="C5" s="92"/>
      <c r="D5" s="93"/>
    </row>
    <row r="6" spans="1:4" x14ac:dyDescent="0.2">
      <c r="A6" s="83" t="s">
        <v>4</v>
      </c>
      <c r="B6" s="84" t="s">
        <v>257</v>
      </c>
      <c r="C6" s="85"/>
      <c r="D6" s="86" t="s">
        <v>262</v>
      </c>
    </row>
    <row r="7" spans="1:4" x14ac:dyDescent="0.2">
      <c r="A7" s="83" t="s">
        <v>6</v>
      </c>
      <c r="B7" s="84" t="s">
        <v>258</v>
      </c>
      <c r="C7" s="85"/>
      <c r="D7" s="86" t="s">
        <v>263</v>
      </c>
    </row>
    <row r="8" spans="1:4" x14ac:dyDescent="0.2">
      <c r="A8" s="83" t="s">
        <v>8</v>
      </c>
      <c r="B8" s="84" t="s">
        <v>259</v>
      </c>
      <c r="C8" s="85"/>
      <c r="D8" s="87">
        <v>45785</v>
      </c>
    </row>
    <row r="9" spans="1:4" x14ac:dyDescent="0.2">
      <c r="A9" s="83" t="s">
        <v>10</v>
      </c>
      <c r="B9" s="94" t="s">
        <v>264</v>
      </c>
      <c r="C9" s="95"/>
      <c r="D9" s="86" t="s">
        <v>260</v>
      </c>
    </row>
    <row r="10" spans="1:4" x14ac:dyDescent="0.2">
      <c r="A10" s="83" t="s">
        <v>12</v>
      </c>
      <c r="B10" s="94" t="s">
        <v>265</v>
      </c>
      <c r="C10" s="95"/>
      <c r="D10" s="86" t="s">
        <v>261</v>
      </c>
    </row>
    <row r="12" spans="1:4" x14ac:dyDescent="0.2">
      <c r="A12" s="103" t="s">
        <v>88</v>
      </c>
      <c r="B12" s="103"/>
      <c r="C12" s="103"/>
      <c r="D12" s="103"/>
    </row>
    <row r="13" spans="1:4" x14ac:dyDescent="0.2">
      <c r="A13" s="2"/>
      <c r="B13" s="2"/>
      <c r="C13" s="2"/>
      <c r="D13" s="2"/>
    </row>
    <row r="14" spans="1:4" ht="38.25" x14ac:dyDescent="0.2">
      <c r="A14" s="115" t="s">
        <v>89</v>
      </c>
      <c r="B14" s="115"/>
      <c r="C14" s="32" t="s">
        <v>90</v>
      </c>
      <c r="D14" s="27" t="s">
        <v>91</v>
      </c>
    </row>
    <row r="15" spans="1:4" x14ac:dyDescent="0.2">
      <c r="A15" s="96" t="s">
        <v>113</v>
      </c>
      <c r="B15" s="96"/>
      <c r="C15" s="33" t="s">
        <v>101</v>
      </c>
      <c r="D15" s="33">
        <v>1</v>
      </c>
    </row>
    <row r="17" spans="1:4" x14ac:dyDescent="0.2">
      <c r="A17" s="103" t="s">
        <v>72</v>
      </c>
      <c r="B17" s="103"/>
      <c r="C17" s="103"/>
      <c r="D17" s="103"/>
    </row>
    <row r="18" spans="1:4" x14ac:dyDescent="0.2">
      <c r="A18" s="2"/>
      <c r="B18" s="2"/>
      <c r="C18" s="2"/>
      <c r="D18" s="2"/>
    </row>
    <row r="19" spans="1:4" x14ac:dyDescent="0.2">
      <c r="A19" s="5">
        <v>1</v>
      </c>
      <c r="B19" s="5" t="s">
        <v>73</v>
      </c>
      <c r="C19" s="97" t="s">
        <v>113</v>
      </c>
      <c r="D19" s="98"/>
    </row>
    <row r="20" spans="1:4" x14ac:dyDescent="0.2">
      <c r="A20" s="5">
        <v>2</v>
      </c>
      <c r="B20" s="5" t="s">
        <v>92</v>
      </c>
      <c r="C20" s="97" t="s">
        <v>114</v>
      </c>
      <c r="D20" s="98"/>
    </row>
    <row r="21" spans="1:4" x14ac:dyDescent="0.2">
      <c r="A21" s="5">
        <v>3</v>
      </c>
      <c r="B21" s="5" t="s">
        <v>74</v>
      </c>
      <c r="C21" s="101">
        <v>1530</v>
      </c>
      <c r="D21" s="102"/>
    </row>
    <row r="22" spans="1:4" x14ac:dyDescent="0.2">
      <c r="A22" s="5">
        <v>4</v>
      </c>
      <c r="B22" s="5" t="s">
        <v>75</v>
      </c>
      <c r="C22" s="97"/>
      <c r="D22" s="98"/>
    </row>
    <row r="23" spans="1:4" x14ac:dyDescent="0.2">
      <c r="A23" s="5">
        <v>5</v>
      </c>
      <c r="B23" s="5" t="s">
        <v>76</v>
      </c>
      <c r="C23" s="97"/>
      <c r="D23" s="98"/>
    </row>
    <row r="25" spans="1:4" x14ac:dyDescent="0.2">
      <c r="A25" s="103" t="s">
        <v>1</v>
      </c>
      <c r="B25" s="103"/>
      <c r="C25" s="103"/>
      <c r="D25" s="103"/>
    </row>
    <row r="27" spans="1:4" x14ac:dyDescent="0.2">
      <c r="A27" s="30">
        <v>1</v>
      </c>
      <c r="B27" s="99" t="s">
        <v>2</v>
      </c>
      <c r="C27" s="99"/>
      <c r="D27" s="30" t="s">
        <v>3</v>
      </c>
    </row>
    <row r="28" spans="1:4" x14ac:dyDescent="0.2">
      <c r="A28" s="32" t="s">
        <v>4</v>
      </c>
      <c r="B28" s="100" t="s">
        <v>5</v>
      </c>
      <c r="C28" s="100"/>
      <c r="D28" s="13">
        <v>1530</v>
      </c>
    </row>
    <row r="29" spans="1:4" x14ac:dyDescent="0.2">
      <c r="A29" s="32" t="s">
        <v>6</v>
      </c>
      <c r="B29" s="100" t="s">
        <v>7</v>
      </c>
      <c r="C29" s="100"/>
      <c r="D29" s="13"/>
    </row>
    <row r="30" spans="1:4" x14ac:dyDescent="0.2">
      <c r="A30" s="32" t="s">
        <v>8</v>
      </c>
      <c r="B30" s="100" t="s">
        <v>9</v>
      </c>
      <c r="C30" s="100"/>
      <c r="D30" s="13"/>
    </row>
    <row r="31" spans="1:4" x14ac:dyDescent="0.2">
      <c r="A31" s="32" t="s">
        <v>10</v>
      </c>
      <c r="B31" s="100" t="s">
        <v>11</v>
      </c>
      <c r="C31" s="100"/>
      <c r="D31" s="13"/>
    </row>
    <row r="32" spans="1:4" x14ac:dyDescent="0.2">
      <c r="A32" s="32" t="s">
        <v>12</v>
      </c>
      <c r="B32" s="100" t="s">
        <v>13</v>
      </c>
      <c r="C32" s="100"/>
      <c r="D32" s="13"/>
    </row>
    <row r="33" spans="1:4" x14ac:dyDescent="0.2">
      <c r="A33" s="32"/>
      <c r="B33" s="100"/>
      <c r="C33" s="100"/>
      <c r="D33" s="13"/>
    </row>
    <row r="34" spans="1:4" x14ac:dyDescent="0.2">
      <c r="A34" s="32" t="s">
        <v>14</v>
      </c>
      <c r="B34" s="100" t="s">
        <v>15</v>
      </c>
      <c r="C34" s="100"/>
      <c r="D34" s="13"/>
    </row>
    <row r="35" spans="1:4" x14ac:dyDescent="0.2">
      <c r="A35" s="99" t="s">
        <v>16</v>
      </c>
      <c r="B35" s="99"/>
      <c r="C35" s="99"/>
      <c r="D35" s="20">
        <f>SUM(D28:D34)</f>
        <v>1530</v>
      </c>
    </row>
    <row r="38" spans="1:4" x14ac:dyDescent="0.2">
      <c r="A38" s="104" t="s">
        <v>17</v>
      </c>
      <c r="B38" s="104"/>
      <c r="C38" s="104"/>
      <c r="D38" s="104"/>
    </row>
    <row r="39" spans="1:4" x14ac:dyDescent="0.2">
      <c r="A39" s="3"/>
    </row>
    <row r="40" spans="1:4" x14ac:dyDescent="0.2">
      <c r="A40" s="111" t="s">
        <v>18</v>
      </c>
      <c r="B40" s="111"/>
      <c r="C40" s="111"/>
      <c r="D40" s="111"/>
    </row>
    <row r="42" spans="1:4" x14ac:dyDescent="0.2">
      <c r="A42" s="30" t="s">
        <v>19</v>
      </c>
      <c r="B42" s="99" t="s">
        <v>20</v>
      </c>
      <c r="C42" s="99"/>
      <c r="D42" s="30" t="s">
        <v>3</v>
      </c>
    </row>
    <row r="43" spans="1:4" x14ac:dyDescent="0.2">
      <c r="A43" s="32" t="s">
        <v>4</v>
      </c>
      <c r="B43" s="29" t="s">
        <v>21</v>
      </c>
      <c r="C43" s="12">
        <f>TRUNC(1/12,4)</f>
        <v>8.3299999999999999E-2</v>
      </c>
      <c r="D43" s="13">
        <f>TRUNC($D$35*C43,2)</f>
        <v>127.44</v>
      </c>
    </row>
    <row r="44" spans="1:4" x14ac:dyDescent="0.2">
      <c r="A44" s="32" t="s">
        <v>6</v>
      </c>
      <c r="B44" s="29" t="s">
        <v>22</v>
      </c>
      <c r="C44" s="12">
        <f>TRUNC(((1+1/3)/12),4)</f>
        <v>0.1111</v>
      </c>
      <c r="D44" s="13">
        <f>TRUNC($D$35*C44,2)</f>
        <v>169.98</v>
      </c>
    </row>
    <row r="45" spans="1:4" x14ac:dyDescent="0.2">
      <c r="A45" s="99" t="s">
        <v>16</v>
      </c>
      <c r="B45" s="99"/>
      <c r="C45" s="28">
        <f>SUM(C43:C44)</f>
        <v>0.19440000000000002</v>
      </c>
      <c r="D45" s="19">
        <f>SUM(D43:D44)</f>
        <v>297.41999999999996</v>
      </c>
    </row>
    <row r="48" spans="1:4" x14ac:dyDescent="0.2">
      <c r="A48" s="114" t="s">
        <v>23</v>
      </c>
      <c r="B48" s="114"/>
      <c r="C48" s="114"/>
      <c r="D48" s="114"/>
    </row>
    <row r="50" spans="1:4" x14ac:dyDescent="0.2">
      <c r="A50" s="30" t="s">
        <v>24</v>
      </c>
      <c r="B50" s="30" t="s">
        <v>25</v>
      </c>
      <c r="C50" s="30" t="s">
        <v>26</v>
      </c>
      <c r="D50" s="30" t="s">
        <v>3</v>
      </c>
    </row>
    <row r="51" spans="1:4" x14ac:dyDescent="0.2">
      <c r="A51" s="32" t="s">
        <v>4</v>
      </c>
      <c r="B51" s="29" t="s">
        <v>27</v>
      </c>
      <c r="C51" s="9">
        <v>0.2</v>
      </c>
      <c r="D51" s="13">
        <f>TRUNC(($D$35+$D$45)*C51,2)</f>
        <v>365.48</v>
      </c>
    </row>
    <row r="52" spans="1:4" x14ac:dyDescent="0.2">
      <c r="A52" s="32" t="s">
        <v>6</v>
      </c>
      <c r="B52" s="29" t="s">
        <v>28</v>
      </c>
      <c r="C52" s="9">
        <v>2.5000000000000001E-2</v>
      </c>
      <c r="D52" s="13">
        <f t="shared" ref="D52:D58" si="0">TRUNC(($D$35+$D$45)*C52,2)</f>
        <v>45.68</v>
      </c>
    </row>
    <row r="53" spans="1:4" x14ac:dyDescent="0.2">
      <c r="A53" s="32" t="s">
        <v>8</v>
      </c>
      <c r="B53" s="29" t="s">
        <v>29</v>
      </c>
      <c r="C53" s="16">
        <v>0.03</v>
      </c>
      <c r="D53" s="13">
        <f t="shared" si="0"/>
        <v>54.82</v>
      </c>
    </row>
    <row r="54" spans="1:4" x14ac:dyDescent="0.2">
      <c r="A54" s="32" t="s">
        <v>10</v>
      </c>
      <c r="B54" s="29" t="s">
        <v>30</v>
      </c>
      <c r="C54" s="9">
        <v>1.4999999999999999E-2</v>
      </c>
      <c r="D54" s="13">
        <f t="shared" si="0"/>
        <v>27.41</v>
      </c>
    </row>
    <row r="55" spans="1:4" x14ac:dyDescent="0.2">
      <c r="A55" s="32" t="s">
        <v>12</v>
      </c>
      <c r="B55" s="29" t="s">
        <v>31</v>
      </c>
      <c r="C55" s="9">
        <v>0.01</v>
      </c>
      <c r="D55" s="13">
        <f t="shared" si="0"/>
        <v>18.27</v>
      </c>
    </row>
    <row r="56" spans="1:4" x14ac:dyDescent="0.2">
      <c r="A56" s="32" t="s">
        <v>32</v>
      </c>
      <c r="B56" s="29" t="s">
        <v>33</v>
      </c>
      <c r="C56" s="9">
        <v>6.0000000000000001E-3</v>
      </c>
      <c r="D56" s="13">
        <f t="shared" si="0"/>
        <v>10.96</v>
      </c>
    </row>
    <row r="57" spans="1:4" x14ac:dyDescent="0.2">
      <c r="A57" s="32" t="s">
        <v>14</v>
      </c>
      <c r="B57" s="29" t="s">
        <v>34</v>
      </c>
      <c r="C57" s="9">
        <v>2E-3</v>
      </c>
      <c r="D57" s="13">
        <f t="shared" si="0"/>
        <v>3.65</v>
      </c>
    </row>
    <row r="58" spans="1:4" x14ac:dyDescent="0.2">
      <c r="A58" s="32" t="s">
        <v>35</v>
      </c>
      <c r="B58" s="29" t="s">
        <v>36</v>
      </c>
      <c r="C58" s="9">
        <v>0.08</v>
      </c>
      <c r="D58" s="13">
        <f t="shared" si="0"/>
        <v>146.19</v>
      </c>
    </row>
    <row r="59" spans="1:4" x14ac:dyDescent="0.2">
      <c r="A59" s="99" t="s">
        <v>37</v>
      </c>
      <c r="B59" s="99"/>
      <c r="C59" s="15">
        <f>SUM(C51:C58)</f>
        <v>0.36800000000000005</v>
      </c>
      <c r="D59" s="19">
        <f>SUM(D51:D58)</f>
        <v>672.46</v>
      </c>
    </row>
    <row r="62" spans="1:4" x14ac:dyDescent="0.2">
      <c r="A62" s="111" t="s">
        <v>38</v>
      </c>
      <c r="B62" s="111"/>
      <c r="C62" s="111"/>
      <c r="D62" s="111"/>
    </row>
    <row r="64" spans="1:4" x14ac:dyDescent="0.2">
      <c r="A64" s="30" t="s">
        <v>39</v>
      </c>
      <c r="B64" s="110" t="s">
        <v>40</v>
      </c>
      <c r="C64" s="110"/>
      <c r="D64" s="30" t="s">
        <v>3</v>
      </c>
    </row>
    <row r="65" spans="1:5" x14ac:dyDescent="0.2">
      <c r="A65" s="32" t="s">
        <v>4</v>
      </c>
      <c r="B65" s="100" t="s">
        <v>41</v>
      </c>
      <c r="C65" s="100"/>
      <c r="D65" s="13">
        <f>IF((22*2*5.6)-(D28*0.06)&gt;0,(22*2*5.6)-(D28*0.06),0)</f>
        <v>154.59999999999997</v>
      </c>
    </row>
    <row r="66" spans="1:5" x14ac:dyDescent="0.2">
      <c r="A66" s="32" t="s">
        <v>6</v>
      </c>
      <c r="B66" s="100" t="s">
        <v>42</v>
      </c>
      <c r="C66" s="100"/>
      <c r="D66" s="13">
        <f>20*0.8*22</f>
        <v>352</v>
      </c>
    </row>
    <row r="67" spans="1:5" x14ac:dyDescent="0.2">
      <c r="A67" s="32" t="s">
        <v>8</v>
      </c>
      <c r="B67" s="100" t="s">
        <v>103</v>
      </c>
      <c r="C67" s="100"/>
      <c r="D67" s="13">
        <v>280</v>
      </c>
    </row>
    <row r="68" spans="1:5" x14ac:dyDescent="0.2">
      <c r="A68" s="32" t="s">
        <v>10</v>
      </c>
      <c r="B68" s="100" t="s">
        <v>104</v>
      </c>
      <c r="C68" s="100"/>
      <c r="D68" s="13">
        <v>23</v>
      </c>
    </row>
    <row r="69" spans="1:5" x14ac:dyDescent="0.2">
      <c r="A69" s="32" t="s">
        <v>12</v>
      </c>
      <c r="B69" s="100" t="s">
        <v>105</v>
      </c>
      <c r="C69" s="100"/>
      <c r="D69" s="13">
        <v>4.8</v>
      </c>
    </row>
    <row r="70" spans="1:5" x14ac:dyDescent="0.2">
      <c r="A70" s="99" t="s">
        <v>16</v>
      </c>
      <c r="B70" s="99"/>
      <c r="C70" s="99"/>
      <c r="D70" s="19">
        <f>SUM(D65:D69)</f>
        <v>814.39999999999986</v>
      </c>
    </row>
    <row r="71" spans="1:5" x14ac:dyDescent="0.2">
      <c r="E71" s="18"/>
    </row>
    <row r="73" spans="1:5" x14ac:dyDescent="0.2">
      <c r="A73" s="111" t="s">
        <v>43</v>
      </c>
      <c r="B73" s="111"/>
      <c r="C73" s="111"/>
      <c r="D73" s="111"/>
      <c r="E73" s="17"/>
    </row>
    <row r="74" spans="1:5" ht="12.75" customHeight="1" x14ac:dyDescent="0.2">
      <c r="E74" s="18"/>
    </row>
    <row r="75" spans="1:5" x14ac:dyDescent="0.2">
      <c r="A75" s="30">
        <v>2</v>
      </c>
      <c r="B75" s="110" t="s">
        <v>44</v>
      </c>
      <c r="C75" s="110"/>
      <c r="D75" s="30" t="s">
        <v>3</v>
      </c>
    </row>
    <row r="76" spans="1:5" x14ac:dyDescent="0.2">
      <c r="A76" s="32" t="s">
        <v>19</v>
      </c>
      <c r="B76" s="100" t="s">
        <v>20</v>
      </c>
      <c r="C76" s="100"/>
      <c r="D76" s="14">
        <f>D45</f>
        <v>297.41999999999996</v>
      </c>
    </row>
    <row r="77" spans="1:5" x14ac:dyDescent="0.2">
      <c r="A77" s="32" t="s">
        <v>24</v>
      </c>
      <c r="B77" s="100" t="s">
        <v>25</v>
      </c>
      <c r="C77" s="100"/>
      <c r="D77" s="14">
        <f>D59</f>
        <v>672.46</v>
      </c>
    </row>
    <row r="78" spans="1:5" x14ac:dyDescent="0.2">
      <c r="A78" s="32" t="s">
        <v>39</v>
      </c>
      <c r="B78" s="100" t="s">
        <v>40</v>
      </c>
      <c r="C78" s="100"/>
      <c r="D78" s="14">
        <f>D70</f>
        <v>814.39999999999986</v>
      </c>
    </row>
    <row r="79" spans="1:5" x14ac:dyDescent="0.2">
      <c r="A79" s="99" t="s">
        <v>16</v>
      </c>
      <c r="B79" s="99"/>
      <c r="C79" s="99"/>
      <c r="D79" s="19">
        <f>SUM(D76:D78)</f>
        <v>1784.2799999999997</v>
      </c>
    </row>
    <row r="80" spans="1:5" x14ac:dyDescent="0.2">
      <c r="A80" s="4"/>
    </row>
    <row r="82" spans="1:4" x14ac:dyDescent="0.2">
      <c r="A82" s="104" t="s">
        <v>45</v>
      </c>
      <c r="B82" s="104"/>
      <c r="C82" s="104"/>
      <c r="D82" s="104"/>
    </row>
    <row r="84" spans="1:4" x14ac:dyDescent="0.2">
      <c r="A84" s="30">
        <v>3</v>
      </c>
      <c r="B84" s="110" t="s">
        <v>46</v>
      </c>
      <c r="C84" s="110"/>
      <c r="D84" s="30" t="s">
        <v>3</v>
      </c>
    </row>
    <row r="85" spans="1:4" x14ac:dyDescent="0.2">
      <c r="A85" s="32" t="s">
        <v>4</v>
      </c>
      <c r="B85" s="10" t="s">
        <v>47</v>
      </c>
      <c r="C85" s="9">
        <f>TRUNC(((1/12)*5%),4)</f>
        <v>4.1000000000000003E-3</v>
      </c>
      <c r="D85" s="13">
        <f>TRUNC($D$35*C85,2)</f>
        <v>6.27</v>
      </c>
    </row>
    <row r="86" spans="1:4" x14ac:dyDescent="0.2">
      <c r="A86" s="32" t="s">
        <v>6</v>
      </c>
      <c r="B86" s="10" t="s">
        <v>48</v>
      </c>
      <c r="C86" s="9">
        <v>0.08</v>
      </c>
      <c r="D86" s="13">
        <f>TRUNC(D85*C86,2)</f>
        <v>0.5</v>
      </c>
    </row>
    <row r="87" spans="1:4" x14ac:dyDescent="0.2">
      <c r="A87" s="32" t="s">
        <v>8</v>
      </c>
      <c r="B87" s="10" t="s">
        <v>98</v>
      </c>
      <c r="C87" s="9">
        <f>TRUNC(8%*5%*40%,4)</f>
        <v>1.6000000000000001E-3</v>
      </c>
      <c r="D87" s="13">
        <f>TRUNC($D$35*C87,2)</f>
        <v>2.44</v>
      </c>
    </row>
    <row r="88" spans="1:4" x14ac:dyDescent="0.2">
      <c r="A88" s="32" t="s">
        <v>10</v>
      </c>
      <c r="B88" s="10" t="s">
        <v>49</v>
      </c>
      <c r="C88" s="9">
        <f>TRUNC(((7/30)/12)*95%,4)</f>
        <v>1.84E-2</v>
      </c>
      <c r="D88" s="13">
        <f>TRUNC($D$35*C88,2)</f>
        <v>28.15</v>
      </c>
    </row>
    <row r="89" spans="1:4" ht="25.5" x14ac:dyDescent="0.2">
      <c r="A89" s="32" t="s">
        <v>12</v>
      </c>
      <c r="B89" s="10" t="s">
        <v>93</v>
      </c>
      <c r="C89" s="9">
        <f>C59</f>
        <v>0.36800000000000005</v>
      </c>
      <c r="D89" s="13">
        <f>TRUNC(D88*C89,2)</f>
        <v>10.35</v>
      </c>
    </row>
    <row r="90" spans="1:4" x14ac:dyDescent="0.2">
      <c r="A90" s="32" t="s">
        <v>32</v>
      </c>
      <c r="B90" s="10" t="s">
        <v>99</v>
      </c>
      <c r="C90" s="9">
        <f>TRUNC(8%*95%*40%,4)</f>
        <v>3.04E-2</v>
      </c>
      <c r="D90" s="13">
        <f t="shared" ref="D90" si="1">TRUNC($D$35*C90,2)</f>
        <v>46.51</v>
      </c>
    </row>
    <row r="91" spans="1:4" x14ac:dyDescent="0.2">
      <c r="A91" s="108" t="s">
        <v>16</v>
      </c>
      <c r="B91" s="109"/>
      <c r="C91" s="112"/>
      <c r="D91" s="19">
        <f>SUM(D85:D90)</f>
        <v>94.22</v>
      </c>
    </row>
    <row r="94" spans="1:4" x14ac:dyDescent="0.2">
      <c r="A94" s="104" t="s">
        <v>50</v>
      </c>
      <c r="B94" s="104"/>
      <c r="C94" s="104"/>
      <c r="D94" s="104"/>
    </row>
    <row r="97" spans="1:6" x14ac:dyDescent="0.2">
      <c r="A97" s="111" t="s">
        <v>77</v>
      </c>
      <c r="B97" s="111"/>
      <c r="C97" s="111"/>
      <c r="D97" s="111"/>
      <c r="E97" s="17"/>
      <c r="F97" s="17"/>
    </row>
    <row r="98" spans="1:6" x14ac:dyDescent="0.2">
      <c r="A98" s="3"/>
    </row>
    <row r="99" spans="1:6" x14ac:dyDescent="0.2">
      <c r="A99" s="30" t="s">
        <v>51</v>
      </c>
      <c r="B99" s="110" t="s">
        <v>78</v>
      </c>
      <c r="C99" s="110"/>
      <c r="D99" s="30" t="s">
        <v>3</v>
      </c>
    </row>
    <row r="100" spans="1:6" x14ac:dyDescent="0.2">
      <c r="A100" s="32" t="s">
        <v>4</v>
      </c>
      <c r="B100" s="29" t="s">
        <v>79</v>
      </c>
      <c r="C100" s="9">
        <f>TRUNC(((1+1/3)/12)/12,4)</f>
        <v>9.1999999999999998E-3</v>
      </c>
      <c r="D100" s="13">
        <f>TRUNC(($D$35+$D$79+$D$91)*C100,2)</f>
        <v>31.35</v>
      </c>
    </row>
    <row r="101" spans="1:6" x14ac:dyDescent="0.2">
      <c r="A101" s="32" t="s">
        <v>6</v>
      </c>
      <c r="B101" s="29" t="s">
        <v>80</v>
      </c>
      <c r="C101" s="9">
        <f>TRUNC(((2/30)/12),4)</f>
        <v>5.4999999999999997E-3</v>
      </c>
      <c r="D101" s="13">
        <f t="shared" ref="D101:D105" si="2">TRUNC(($D$35+$D$79+$D$91)*C101,2)</f>
        <v>18.739999999999998</v>
      </c>
    </row>
    <row r="102" spans="1:6" x14ac:dyDescent="0.2">
      <c r="A102" s="32" t="s">
        <v>8</v>
      </c>
      <c r="B102" s="29" t="s">
        <v>81</v>
      </c>
      <c r="C102" s="9">
        <f>TRUNC(((5/30)/12)*2%,4)</f>
        <v>2.0000000000000001E-4</v>
      </c>
      <c r="D102" s="13">
        <f t="shared" si="2"/>
        <v>0.68</v>
      </c>
    </row>
    <row r="103" spans="1:6" x14ac:dyDescent="0.2">
      <c r="A103" s="32" t="s">
        <v>10</v>
      </c>
      <c r="B103" s="29" t="s">
        <v>82</v>
      </c>
      <c r="C103" s="9">
        <f>TRUNC(((15/30)/12)*8%,4)</f>
        <v>3.3E-3</v>
      </c>
      <c r="D103" s="13">
        <f t="shared" si="2"/>
        <v>11.24</v>
      </c>
    </row>
    <row r="104" spans="1:6" x14ac:dyDescent="0.2">
      <c r="A104" s="32" t="s">
        <v>12</v>
      </c>
      <c r="B104" s="29" t="s">
        <v>83</v>
      </c>
      <c r="C104" s="9">
        <f>((1+1/3)/12)*3%*(4/12)</f>
        <v>1.1111111111111109E-3</v>
      </c>
      <c r="D104" s="13">
        <f t="shared" si="2"/>
        <v>3.78</v>
      </c>
    </row>
    <row r="105" spans="1:6" x14ac:dyDescent="0.2">
      <c r="A105" s="32" t="s">
        <v>32</v>
      </c>
      <c r="B105" s="29" t="s">
        <v>84</v>
      </c>
      <c r="C105" s="9"/>
      <c r="D105" s="13">
        <f t="shared" si="2"/>
        <v>0</v>
      </c>
    </row>
    <row r="106" spans="1:6" x14ac:dyDescent="0.2">
      <c r="A106" s="99" t="s">
        <v>37</v>
      </c>
      <c r="B106" s="99"/>
      <c r="C106" s="99"/>
      <c r="D106" s="19">
        <f>SUM(D100:D105)</f>
        <v>65.790000000000006</v>
      </c>
    </row>
    <row r="109" spans="1:6" x14ac:dyDescent="0.2">
      <c r="A109" s="111" t="s">
        <v>85</v>
      </c>
      <c r="B109" s="111"/>
      <c r="C109" s="111"/>
      <c r="D109" s="111"/>
    </row>
    <row r="110" spans="1:6" x14ac:dyDescent="0.2">
      <c r="A110" s="3"/>
    </row>
    <row r="111" spans="1:6" x14ac:dyDescent="0.2">
      <c r="A111" s="30" t="s">
        <v>52</v>
      </c>
      <c r="B111" s="110" t="s">
        <v>86</v>
      </c>
      <c r="C111" s="110"/>
      <c r="D111" s="30" t="s">
        <v>3</v>
      </c>
    </row>
    <row r="112" spans="1:6" x14ac:dyDescent="0.2">
      <c r="A112" s="32" t="s">
        <v>4</v>
      </c>
      <c r="B112" s="105" t="s">
        <v>87</v>
      </c>
      <c r="C112" s="106"/>
      <c r="D112" s="13">
        <f>((D35+D79+D91)/220)*22*0</f>
        <v>0</v>
      </c>
    </row>
    <row r="113" spans="1:4" x14ac:dyDescent="0.2">
      <c r="A113" s="99" t="s">
        <v>16</v>
      </c>
      <c r="B113" s="99"/>
      <c r="C113" s="99"/>
      <c r="D113" s="19">
        <f>SUM(D112)</f>
        <v>0</v>
      </c>
    </row>
    <row r="116" spans="1:4" x14ac:dyDescent="0.2">
      <c r="A116" s="111" t="s">
        <v>53</v>
      </c>
      <c r="B116" s="111"/>
      <c r="C116" s="111"/>
      <c r="D116" s="111"/>
    </row>
    <row r="117" spans="1:4" x14ac:dyDescent="0.2">
      <c r="A117" s="3"/>
    </row>
    <row r="118" spans="1:4" x14ac:dyDescent="0.2">
      <c r="A118" s="30">
        <v>4</v>
      </c>
      <c r="B118" s="99" t="s">
        <v>54</v>
      </c>
      <c r="C118" s="99"/>
      <c r="D118" s="30" t="s">
        <v>3</v>
      </c>
    </row>
    <row r="119" spans="1:4" x14ac:dyDescent="0.2">
      <c r="A119" s="32" t="s">
        <v>51</v>
      </c>
      <c r="B119" s="100" t="s">
        <v>78</v>
      </c>
      <c r="C119" s="100"/>
      <c r="D119" s="14">
        <f>D106</f>
        <v>65.790000000000006</v>
      </c>
    </row>
    <row r="120" spans="1:4" x14ac:dyDescent="0.2">
      <c r="A120" s="32" t="s">
        <v>52</v>
      </c>
      <c r="B120" s="100" t="s">
        <v>86</v>
      </c>
      <c r="C120" s="100"/>
      <c r="D120" s="14">
        <f>D113</f>
        <v>0</v>
      </c>
    </row>
    <row r="121" spans="1:4" x14ac:dyDescent="0.2">
      <c r="A121" s="99" t="s">
        <v>16</v>
      </c>
      <c r="B121" s="99"/>
      <c r="C121" s="99"/>
      <c r="D121" s="19">
        <f>SUM(D119:D120)</f>
        <v>65.790000000000006</v>
      </c>
    </row>
    <row r="124" spans="1:4" x14ac:dyDescent="0.2">
      <c r="A124" s="104" t="s">
        <v>55</v>
      </c>
      <c r="B124" s="104"/>
      <c r="C124" s="104"/>
      <c r="D124" s="104"/>
    </row>
    <row r="126" spans="1:4" x14ac:dyDescent="0.2">
      <c r="A126" s="30">
        <v>5</v>
      </c>
      <c r="B126" s="107" t="s">
        <v>56</v>
      </c>
      <c r="C126" s="107"/>
      <c r="D126" s="30" t="s">
        <v>3</v>
      </c>
    </row>
    <row r="127" spans="1:4" x14ac:dyDescent="0.2">
      <c r="A127" s="32" t="s">
        <v>4</v>
      </c>
      <c r="B127" s="29" t="s">
        <v>57</v>
      </c>
      <c r="C127" s="29"/>
      <c r="D127" s="13">
        <v>7.94</v>
      </c>
    </row>
    <row r="128" spans="1:4" x14ac:dyDescent="0.2">
      <c r="A128" s="32" t="s">
        <v>6</v>
      </c>
      <c r="B128" s="29" t="s">
        <v>58</v>
      </c>
      <c r="C128" s="29"/>
      <c r="D128" s="13">
        <v>0</v>
      </c>
    </row>
    <row r="129" spans="1:4" x14ac:dyDescent="0.2">
      <c r="A129" s="32" t="s">
        <v>8</v>
      </c>
      <c r="B129" s="29" t="s">
        <v>59</v>
      </c>
      <c r="C129" s="29"/>
      <c r="D129" s="13">
        <v>0</v>
      </c>
    </row>
    <row r="130" spans="1:4" x14ac:dyDescent="0.2">
      <c r="A130" s="32" t="s">
        <v>10</v>
      </c>
      <c r="B130" s="29" t="s">
        <v>106</v>
      </c>
      <c r="C130" s="29"/>
      <c r="D130" s="13">
        <v>0</v>
      </c>
    </row>
    <row r="131" spans="1:4" x14ac:dyDescent="0.2">
      <c r="A131" s="89" t="s">
        <v>12</v>
      </c>
      <c r="B131" s="88" t="s">
        <v>268</v>
      </c>
      <c r="C131" s="88"/>
      <c r="D131" s="13">
        <v>0.28000000000000003</v>
      </c>
    </row>
    <row r="132" spans="1:4" x14ac:dyDescent="0.2">
      <c r="A132" s="99" t="s">
        <v>37</v>
      </c>
      <c r="B132" s="99"/>
      <c r="C132" s="99"/>
      <c r="D132" s="20">
        <f>SUM(D127:D131)</f>
        <v>8.2200000000000006</v>
      </c>
    </row>
    <row r="135" spans="1:4" x14ac:dyDescent="0.2">
      <c r="A135" s="104" t="s">
        <v>60</v>
      </c>
      <c r="B135" s="104"/>
      <c r="C135" s="104"/>
      <c r="D135" s="104"/>
    </row>
    <row r="137" spans="1:4" x14ac:dyDescent="0.2">
      <c r="A137" s="30">
        <v>6</v>
      </c>
      <c r="B137" s="31" t="s">
        <v>61</v>
      </c>
      <c r="C137" s="30" t="s">
        <v>26</v>
      </c>
      <c r="D137" s="30" t="s">
        <v>3</v>
      </c>
    </row>
    <row r="138" spans="1:4" x14ac:dyDescent="0.2">
      <c r="A138" s="32" t="s">
        <v>4</v>
      </c>
      <c r="B138" s="29" t="s">
        <v>62</v>
      </c>
      <c r="C138" s="9">
        <v>0.05</v>
      </c>
      <c r="D138" s="14">
        <f>D158*C138</f>
        <v>174.12549999999999</v>
      </c>
    </row>
    <row r="139" spans="1:4" x14ac:dyDescent="0.2">
      <c r="A139" s="32" t="s">
        <v>6</v>
      </c>
      <c r="B139" s="29" t="s">
        <v>63</v>
      </c>
      <c r="C139" s="9">
        <v>0.06</v>
      </c>
      <c r="D139" s="13">
        <f>(D158+D138)*C139</f>
        <v>219.39812999999995</v>
      </c>
    </row>
    <row r="140" spans="1:4" x14ac:dyDescent="0.2">
      <c r="A140" s="32" t="s">
        <v>8</v>
      </c>
      <c r="B140" s="29" t="s">
        <v>64</v>
      </c>
      <c r="C140" s="12">
        <f>SUM(C141:C146)</f>
        <v>8.6499999999999994E-2</v>
      </c>
      <c r="D140" s="13">
        <f>(D158+D138+D139)*C140/(1-C140)</f>
        <v>367.02453091954015</v>
      </c>
    </row>
    <row r="141" spans="1:4" x14ac:dyDescent="0.2">
      <c r="A141" s="32"/>
      <c r="B141" s="29" t="s">
        <v>65</v>
      </c>
      <c r="C141" s="9"/>
      <c r="D141" s="14">
        <f>$D$160*C141</f>
        <v>0</v>
      </c>
    </row>
    <row r="142" spans="1:4" x14ac:dyDescent="0.2">
      <c r="A142" s="32"/>
      <c r="B142" s="29" t="s">
        <v>95</v>
      </c>
      <c r="C142" s="9">
        <v>6.4999999999999997E-3</v>
      </c>
      <c r="D142" s="14">
        <f t="shared" ref="D142:D146" si="3">$D$160*C142</f>
        <v>27.579890000000002</v>
      </c>
    </row>
    <row r="143" spans="1:4" x14ac:dyDescent="0.2">
      <c r="A143" s="32"/>
      <c r="B143" s="29" t="s">
        <v>96</v>
      </c>
      <c r="C143" s="9">
        <v>0.03</v>
      </c>
      <c r="D143" s="14">
        <f t="shared" si="3"/>
        <v>127.29180000000001</v>
      </c>
    </row>
    <row r="144" spans="1:4" x14ac:dyDescent="0.2">
      <c r="A144" s="32"/>
      <c r="B144" s="29" t="s">
        <v>66</v>
      </c>
      <c r="C144" s="32"/>
      <c r="D144" s="14">
        <f t="shared" si="3"/>
        <v>0</v>
      </c>
    </row>
    <row r="145" spans="1:4" x14ac:dyDescent="0.2">
      <c r="A145" s="32"/>
      <c r="B145" s="29" t="s">
        <v>67</v>
      </c>
      <c r="C145" s="9"/>
      <c r="D145" s="14">
        <f t="shared" si="3"/>
        <v>0</v>
      </c>
    </row>
    <row r="146" spans="1:4" x14ac:dyDescent="0.2">
      <c r="A146" s="32"/>
      <c r="B146" s="29" t="s">
        <v>97</v>
      </c>
      <c r="C146" s="9">
        <v>0.05</v>
      </c>
      <c r="D146" s="14">
        <f t="shared" si="3"/>
        <v>212.15300000000002</v>
      </c>
    </row>
    <row r="147" spans="1:4" ht="13.5" x14ac:dyDescent="0.2">
      <c r="A147" s="108" t="s">
        <v>37</v>
      </c>
      <c r="B147" s="109"/>
      <c r="C147" s="21">
        <f>(1+C139)*(1+C138)/(1-C140)-1</f>
        <v>0.21839080459770144</v>
      </c>
      <c r="D147" s="19">
        <f>SUM(D138:D140)</f>
        <v>760.54816091954012</v>
      </c>
    </row>
    <row r="150" spans="1:4" x14ac:dyDescent="0.2">
      <c r="A150" s="104" t="s">
        <v>68</v>
      </c>
      <c r="B150" s="104"/>
      <c r="C150" s="104"/>
      <c r="D150" s="104"/>
    </row>
    <row r="152" spans="1:4" x14ac:dyDescent="0.2">
      <c r="A152" s="30"/>
      <c r="B152" s="99" t="s">
        <v>69</v>
      </c>
      <c r="C152" s="99"/>
      <c r="D152" s="30" t="s">
        <v>3</v>
      </c>
    </row>
    <row r="153" spans="1:4" x14ac:dyDescent="0.2">
      <c r="A153" s="30" t="s">
        <v>4</v>
      </c>
      <c r="B153" s="100" t="s">
        <v>1</v>
      </c>
      <c r="C153" s="100"/>
      <c r="D153" s="22">
        <f>D35</f>
        <v>1530</v>
      </c>
    </row>
    <row r="154" spans="1:4" x14ac:dyDescent="0.2">
      <c r="A154" s="30" t="s">
        <v>6</v>
      </c>
      <c r="B154" s="100" t="s">
        <v>17</v>
      </c>
      <c r="C154" s="100"/>
      <c r="D154" s="22">
        <f>D79</f>
        <v>1784.2799999999997</v>
      </c>
    </row>
    <row r="155" spans="1:4" x14ac:dyDescent="0.2">
      <c r="A155" s="30" t="s">
        <v>8</v>
      </c>
      <c r="B155" s="100" t="s">
        <v>45</v>
      </c>
      <c r="C155" s="100"/>
      <c r="D155" s="22">
        <f>D91</f>
        <v>94.22</v>
      </c>
    </row>
    <row r="156" spans="1:4" x14ac:dyDescent="0.2">
      <c r="A156" s="30" t="s">
        <v>10</v>
      </c>
      <c r="B156" s="100" t="s">
        <v>50</v>
      </c>
      <c r="C156" s="100"/>
      <c r="D156" s="22">
        <f>D121</f>
        <v>65.790000000000006</v>
      </c>
    </row>
    <row r="157" spans="1:4" x14ac:dyDescent="0.2">
      <c r="A157" s="30" t="s">
        <v>12</v>
      </c>
      <c r="B157" s="100" t="s">
        <v>55</v>
      </c>
      <c r="C157" s="100"/>
      <c r="D157" s="22">
        <f>D132</f>
        <v>8.2200000000000006</v>
      </c>
    </row>
    <row r="158" spans="1:4" x14ac:dyDescent="0.2">
      <c r="A158" s="99" t="s">
        <v>94</v>
      </c>
      <c r="B158" s="99"/>
      <c r="C158" s="99"/>
      <c r="D158" s="23">
        <f>SUM(D153:D157)</f>
        <v>3482.5099999999993</v>
      </c>
    </row>
    <row r="159" spans="1:4" x14ac:dyDescent="0.2">
      <c r="A159" s="30" t="s">
        <v>32</v>
      </c>
      <c r="B159" s="100" t="s">
        <v>70</v>
      </c>
      <c r="C159" s="100"/>
      <c r="D159" s="24">
        <f>D147</f>
        <v>760.54816091954012</v>
      </c>
    </row>
    <row r="160" spans="1:4" x14ac:dyDescent="0.2">
      <c r="A160" s="99" t="s">
        <v>71</v>
      </c>
      <c r="B160" s="99"/>
      <c r="C160" s="99"/>
      <c r="D160" s="23">
        <f>ROUND(SUM(D158:D159),2)</f>
        <v>4243.0600000000004</v>
      </c>
    </row>
  </sheetData>
  <mergeCells count="75">
    <mergeCell ref="B156:C156"/>
    <mergeCell ref="B157:C157"/>
    <mergeCell ref="A158:C158"/>
    <mergeCell ref="B159:C159"/>
    <mergeCell ref="A160:C160"/>
    <mergeCell ref="B155:C155"/>
    <mergeCell ref="B120:C120"/>
    <mergeCell ref="A121:C121"/>
    <mergeCell ref="A124:D124"/>
    <mergeCell ref="B126:C126"/>
    <mergeCell ref="A132:C132"/>
    <mergeCell ref="A135:D135"/>
    <mergeCell ref="A147:B147"/>
    <mergeCell ref="A150:D150"/>
    <mergeCell ref="B152:C152"/>
    <mergeCell ref="B153:C153"/>
    <mergeCell ref="B154:C154"/>
    <mergeCell ref="B119:C119"/>
    <mergeCell ref="A91:C91"/>
    <mergeCell ref="A94:D94"/>
    <mergeCell ref="A97:D97"/>
    <mergeCell ref="B99:C99"/>
    <mergeCell ref="A106:C106"/>
    <mergeCell ref="A109:D109"/>
    <mergeCell ref="B111:C111"/>
    <mergeCell ref="B112:C112"/>
    <mergeCell ref="A113:C113"/>
    <mergeCell ref="A116:D116"/>
    <mergeCell ref="B118:C118"/>
    <mergeCell ref="B84:C84"/>
    <mergeCell ref="B67:C67"/>
    <mergeCell ref="B68:C68"/>
    <mergeCell ref="B69:C69"/>
    <mergeCell ref="A70:C70"/>
    <mergeCell ref="A73:D73"/>
    <mergeCell ref="B75:C75"/>
    <mergeCell ref="B76:C76"/>
    <mergeCell ref="B77:C77"/>
    <mergeCell ref="B78:C78"/>
    <mergeCell ref="A79:C79"/>
    <mergeCell ref="A82:D82"/>
    <mergeCell ref="B66:C66"/>
    <mergeCell ref="B34:C34"/>
    <mergeCell ref="A35:C35"/>
    <mergeCell ref="A38:D38"/>
    <mergeCell ref="A40:D40"/>
    <mergeCell ref="B42:C42"/>
    <mergeCell ref="A45:B45"/>
    <mergeCell ref="A48:D48"/>
    <mergeCell ref="A59:B59"/>
    <mergeCell ref="A62:D62"/>
    <mergeCell ref="B64:C64"/>
    <mergeCell ref="B65:C65"/>
    <mergeCell ref="B33:C33"/>
    <mergeCell ref="C20:D20"/>
    <mergeCell ref="C21:D21"/>
    <mergeCell ref="C22:D22"/>
    <mergeCell ref="C23:D23"/>
    <mergeCell ref="A25:D25"/>
    <mergeCell ref="B27:C27"/>
    <mergeCell ref="B28:C28"/>
    <mergeCell ref="B29:C29"/>
    <mergeCell ref="B30:C30"/>
    <mergeCell ref="B31:C31"/>
    <mergeCell ref="B32:C32"/>
    <mergeCell ref="C19:D19"/>
    <mergeCell ref="A1:D1"/>
    <mergeCell ref="A12:D12"/>
    <mergeCell ref="A14:B14"/>
    <mergeCell ref="A15:B15"/>
    <mergeCell ref="A17:D17"/>
    <mergeCell ref="A3:D3"/>
    <mergeCell ref="A5:D5"/>
    <mergeCell ref="B9:C9"/>
    <mergeCell ref="B10:C10"/>
  </mergeCells>
  <pageMargins left="0.51181102362204722" right="0.51181102362204722" top="0.78740157480314965" bottom="0.78740157480314965" header="0.31496062992125984" footer="0.31496062992125984"/>
  <pageSetup paperSize="9" scale="84" fitToHeight="0" orientation="portrait" r:id="rId1"/>
  <headerFooter>
    <oddHeader>&amp;C&amp;G</oddHead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60"/>
  <sheetViews>
    <sheetView topLeftCell="A6" zoomScale="115" zoomScaleNormal="115" workbookViewId="0">
      <selection activeCell="D132" sqref="D132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113" t="s">
        <v>0</v>
      </c>
      <c r="B1" s="113"/>
      <c r="C1" s="113"/>
      <c r="D1" s="113"/>
    </row>
    <row r="2" spans="1:4" ht="15.75" x14ac:dyDescent="0.25">
      <c r="A2" s="26"/>
      <c r="B2" s="26"/>
      <c r="C2" s="26"/>
      <c r="D2" s="26"/>
    </row>
    <row r="3" spans="1:4" x14ac:dyDescent="0.2">
      <c r="A3" s="90" t="s">
        <v>255</v>
      </c>
      <c r="B3" s="90"/>
      <c r="C3" s="90"/>
      <c r="D3" s="90"/>
    </row>
    <row r="4" spans="1:4" x14ac:dyDescent="0.2">
      <c r="A4" s="2"/>
      <c r="B4" s="2"/>
      <c r="C4" s="2"/>
      <c r="D4" s="2"/>
    </row>
    <row r="5" spans="1:4" x14ac:dyDescent="0.2">
      <c r="A5" s="91" t="s">
        <v>256</v>
      </c>
      <c r="B5" s="92"/>
      <c r="C5" s="92"/>
      <c r="D5" s="93"/>
    </row>
    <row r="6" spans="1:4" x14ac:dyDescent="0.2">
      <c r="A6" s="83" t="s">
        <v>4</v>
      </c>
      <c r="B6" s="84" t="s">
        <v>257</v>
      </c>
      <c r="C6" s="85"/>
      <c r="D6" s="86" t="s">
        <v>262</v>
      </c>
    </row>
    <row r="7" spans="1:4" x14ac:dyDescent="0.2">
      <c r="A7" s="83" t="s">
        <v>6</v>
      </c>
      <c r="B7" s="84" t="s">
        <v>258</v>
      </c>
      <c r="C7" s="85"/>
      <c r="D7" s="86" t="s">
        <v>263</v>
      </c>
    </row>
    <row r="8" spans="1:4" x14ac:dyDescent="0.2">
      <c r="A8" s="83" t="s">
        <v>8</v>
      </c>
      <c r="B8" s="84" t="s">
        <v>259</v>
      </c>
      <c r="C8" s="85"/>
      <c r="D8" s="87">
        <v>45785</v>
      </c>
    </row>
    <row r="9" spans="1:4" x14ac:dyDescent="0.2">
      <c r="A9" s="83" t="s">
        <v>10</v>
      </c>
      <c r="B9" s="94" t="s">
        <v>264</v>
      </c>
      <c r="C9" s="95"/>
      <c r="D9" s="86" t="s">
        <v>260</v>
      </c>
    </row>
    <row r="10" spans="1:4" x14ac:dyDescent="0.2">
      <c r="A10" s="83" t="s">
        <v>12</v>
      </c>
      <c r="B10" s="94" t="s">
        <v>265</v>
      </c>
      <c r="C10" s="95"/>
      <c r="D10" s="86" t="s">
        <v>261</v>
      </c>
    </row>
    <row r="12" spans="1:4" x14ac:dyDescent="0.2">
      <c r="A12" s="103" t="s">
        <v>88</v>
      </c>
      <c r="B12" s="103"/>
      <c r="C12" s="103"/>
      <c r="D12" s="103"/>
    </row>
    <row r="13" spans="1:4" x14ac:dyDescent="0.2">
      <c r="A13" s="2"/>
      <c r="B13" s="2"/>
      <c r="C13" s="2"/>
      <c r="D13" s="2"/>
    </row>
    <row r="14" spans="1:4" ht="38.25" x14ac:dyDescent="0.2">
      <c r="A14" s="115" t="s">
        <v>89</v>
      </c>
      <c r="B14" s="115"/>
      <c r="C14" s="32" t="s">
        <v>90</v>
      </c>
      <c r="D14" s="27" t="s">
        <v>91</v>
      </c>
    </row>
    <row r="15" spans="1:4" x14ac:dyDescent="0.2">
      <c r="A15" s="96" t="s">
        <v>115</v>
      </c>
      <c r="B15" s="96"/>
      <c r="C15" s="33" t="s">
        <v>101</v>
      </c>
      <c r="D15" s="33">
        <v>2</v>
      </c>
    </row>
    <row r="17" spans="1:4" x14ac:dyDescent="0.2">
      <c r="A17" s="103" t="s">
        <v>72</v>
      </c>
      <c r="B17" s="103"/>
      <c r="C17" s="103"/>
      <c r="D17" s="103"/>
    </row>
    <row r="18" spans="1:4" x14ac:dyDescent="0.2">
      <c r="A18" s="2"/>
      <c r="B18" s="2"/>
      <c r="C18" s="2"/>
      <c r="D18" s="2"/>
    </row>
    <row r="19" spans="1:4" x14ac:dyDescent="0.2">
      <c r="A19" s="5">
        <v>1</v>
      </c>
      <c r="B19" s="5" t="s">
        <v>73</v>
      </c>
      <c r="C19" s="97" t="s">
        <v>115</v>
      </c>
      <c r="D19" s="98"/>
    </row>
    <row r="20" spans="1:4" x14ac:dyDescent="0.2">
      <c r="A20" s="5">
        <v>2</v>
      </c>
      <c r="B20" s="5" t="s">
        <v>92</v>
      </c>
      <c r="C20" s="97" t="s">
        <v>116</v>
      </c>
      <c r="D20" s="98"/>
    </row>
    <row r="21" spans="1:4" x14ac:dyDescent="0.2">
      <c r="A21" s="5">
        <v>3</v>
      </c>
      <c r="B21" s="5" t="s">
        <v>74</v>
      </c>
      <c r="C21" s="101">
        <v>1542.3</v>
      </c>
      <c r="D21" s="102"/>
    </row>
    <row r="22" spans="1:4" x14ac:dyDescent="0.2">
      <c r="A22" s="5">
        <v>4</v>
      </c>
      <c r="B22" s="5" t="s">
        <v>75</v>
      </c>
      <c r="C22" s="97"/>
      <c r="D22" s="98"/>
    </row>
    <row r="23" spans="1:4" x14ac:dyDescent="0.2">
      <c r="A23" s="5">
        <v>5</v>
      </c>
      <c r="B23" s="5" t="s">
        <v>76</v>
      </c>
      <c r="C23" s="97"/>
      <c r="D23" s="98"/>
    </row>
    <row r="25" spans="1:4" x14ac:dyDescent="0.2">
      <c r="A25" s="103" t="s">
        <v>1</v>
      </c>
      <c r="B25" s="103"/>
      <c r="C25" s="103"/>
      <c r="D25" s="103"/>
    </row>
    <row r="27" spans="1:4" x14ac:dyDescent="0.2">
      <c r="A27" s="30">
        <v>1</v>
      </c>
      <c r="B27" s="99" t="s">
        <v>2</v>
      </c>
      <c r="C27" s="99"/>
      <c r="D27" s="30" t="s">
        <v>3</v>
      </c>
    </row>
    <row r="28" spans="1:4" x14ac:dyDescent="0.2">
      <c r="A28" s="32" t="s">
        <v>4</v>
      </c>
      <c r="B28" s="100" t="s">
        <v>5</v>
      </c>
      <c r="C28" s="100"/>
      <c r="D28" s="13">
        <v>1542.3</v>
      </c>
    </row>
    <row r="29" spans="1:4" x14ac:dyDescent="0.2">
      <c r="A29" s="32" t="s">
        <v>6</v>
      </c>
      <c r="B29" s="100" t="s">
        <v>7</v>
      </c>
      <c r="C29" s="100"/>
      <c r="D29" s="13"/>
    </row>
    <row r="30" spans="1:4" x14ac:dyDescent="0.2">
      <c r="A30" s="32" t="s">
        <v>8</v>
      </c>
      <c r="B30" s="100" t="s">
        <v>9</v>
      </c>
      <c r="C30" s="100"/>
      <c r="D30" s="13"/>
    </row>
    <row r="31" spans="1:4" x14ac:dyDescent="0.2">
      <c r="A31" s="32" t="s">
        <v>10</v>
      </c>
      <c r="B31" s="100" t="s">
        <v>11</v>
      </c>
      <c r="C31" s="100"/>
      <c r="D31" s="13"/>
    </row>
    <row r="32" spans="1:4" x14ac:dyDescent="0.2">
      <c r="A32" s="32" t="s">
        <v>12</v>
      </c>
      <c r="B32" s="100" t="s">
        <v>13</v>
      </c>
      <c r="C32" s="100"/>
      <c r="D32" s="13"/>
    </row>
    <row r="33" spans="1:4" x14ac:dyDescent="0.2">
      <c r="A33" s="32"/>
      <c r="B33" s="100"/>
      <c r="C33" s="100"/>
      <c r="D33" s="13"/>
    </row>
    <row r="34" spans="1:4" x14ac:dyDescent="0.2">
      <c r="A34" s="32" t="s">
        <v>14</v>
      </c>
      <c r="B34" s="100" t="s">
        <v>15</v>
      </c>
      <c r="C34" s="100"/>
      <c r="D34" s="13"/>
    </row>
    <row r="35" spans="1:4" x14ac:dyDescent="0.2">
      <c r="A35" s="99" t="s">
        <v>16</v>
      </c>
      <c r="B35" s="99"/>
      <c r="C35" s="99"/>
      <c r="D35" s="20">
        <f>SUM(D28:D34)</f>
        <v>1542.3</v>
      </c>
    </row>
    <row r="38" spans="1:4" x14ac:dyDescent="0.2">
      <c r="A38" s="104" t="s">
        <v>17</v>
      </c>
      <c r="B38" s="104"/>
      <c r="C38" s="104"/>
      <c r="D38" s="104"/>
    </row>
    <row r="39" spans="1:4" x14ac:dyDescent="0.2">
      <c r="A39" s="3"/>
    </row>
    <row r="40" spans="1:4" x14ac:dyDescent="0.2">
      <c r="A40" s="111" t="s">
        <v>18</v>
      </c>
      <c r="B40" s="111"/>
      <c r="C40" s="111"/>
      <c r="D40" s="111"/>
    </row>
    <row r="42" spans="1:4" x14ac:dyDescent="0.2">
      <c r="A42" s="30" t="s">
        <v>19</v>
      </c>
      <c r="B42" s="99" t="s">
        <v>20</v>
      </c>
      <c r="C42" s="99"/>
      <c r="D42" s="30" t="s">
        <v>3</v>
      </c>
    </row>
    <row r="43" spans="1:4" x14ac:dyDescent="0.2">
      <c r="A43" s="32" t="s">
        <v>4</v>
      </c>
      <c r="B43" s="29" t="s">
        <v>21</v>
      </c>
      <c r="C43" s="12">
        <f>TRUNC(1/12,4)</f>
        <v>8.3299999999999999E-2</v>
      </c>
      <c r="D43" s="13">
        <f>TRUNC($D$35*C43,2)</f>
        <v>128.47</v>
      </c>
    </row>
    <row r="44" spans="1:4" x14ac:dyDescent="0.2">
      <c r="A44" s="32" t="s">
        <v>6</v>
      </c>
      <c r="B44" s="29" t="s">
        <v>22</v>
      </c>
      <c r="C44" s="12">
        <f>TRUNC(((1+1/3)/12),4)</f>
        <v>0.1111</v>
      </c>
      <c r="D44" s="13">
        <f>TRUNC($D$35*C44,2)</f>
        <v>171.34</v>
      </c>
    </row>
    <row r="45" spans="1:4" x14ac:dyDescent="0.2">
      <c r="A45" s="99" t="s">
        <v>16</v>
      </c>
      <c r="B45" s="99"/>
      <c r="C45" s="28">
        <f>SUM(C43:C44)</f>
        <v>0.19440000000000002</v>
      </c>
      <c r="D45" s="19">
        <f>SUM(D43:D44)</f>
        <v>299.81</v>
      </c>
    </row>
    <row r="48" spans="1:4" x14ac:dyDescent="0.2">
      <c r="A48" s="114" t="s">
        <v>23</v>
      </c>
      <c r="B48" s="114"/>
      <c r="C48" s="114"/>
      <c r="D48" s="114"/>
    </row>
    <row r="50" spans="1:4" x14ac:dyDescent="0.2">
      <c r="A50" s="30" t="s">
        <v>24</v>
      </c>
      <c r="B50" s="30" t="s">
        <v>25</v>
      </c>
      <c r="C50" s="30" t="s">
        <v>26</v>
      </c>
      <c r="D50" s="30" t="s">
        <v>3</v>
      </c>
    </row>
    <row r="51" spans="1:4" x14ac:dyDescent="0.2">
      <c r="A51" s="32" t="s">
        <v>4</v>
      </c>
      <c r="B51" s="29" t="s">
        <v>27</v>
      </c>
      <c r="C51" s="9">
        <v>0.2</v>
      </c>
      <c r="D51" s="13">
        <f>TRUNC(($D$35+$D$45)*C51,2)</f>
        <v>368.42</v>
      </c>
    </row>
    <row r="52" spans="1:4" x14ac:dyDescent="0.2">
      <c r="A52" s="32" t="s">
        <v>6</v>
      </c>
      <c r="B52" s="29" t="s">
        <v>28</v>
      </c>
      <c r="C52" s="9">
        <v>2.5000000000000001E-2</v>
      </c>
      <c r="D52" s="13">
        <f t="shared" ref="D52:D58" si="0">TRUNC(($D$35+$D$45)*C52,2)</f>
        <v>46.05</v>
      </c>
    </row>
    <row r="53" spans="1:4" x14ac:dyDescent="0.2">
      <c r="A53" s="32" t="s">
        <v>8</v>
      </c>
      <c r="B53" s="29" t="s">
        <v>29</v>
      </c>
      <c r="C53" s="16">
        <v>0.03</v>
      </c>
      <c r="D53" s="13">
        <f t="shared" si="0"/>
        <v>55.26</v>
      </c>
    </row>
    <row r="54" spans="1:4" x14ac:dyDescent="0.2">
      <c r="A54" s="32" t="s">
        <v>10</v>
      </c>
      <c r="B54" s="29" t="s">
        <v>30</v>
      </c>
      <c r="C54" s="9">
        <v>1.4999999999999999E-2</v>
      </c>
      <c r="D54" s="13">
        <f t="shared" si="0"/>
        <v>27.63</v>
      </c>
    </row>
    <row r="55" spans="1:4" x14ac:dyDescent="0.2">
      <c r="A55" s="32" t="s">
        <v>12</v>
      </c>
      <c r="B55" s="29" t="s">
        <v>31</v>
      </c>
      <c r="C55" s="9">
        <v>0.01</v>
      </c>
      <c r="D55" s="13">
        <f t="shared" si="0"/>
        <v>18.420000000000002</v>
      </c>
    </row>
    <row r="56" spans="1:4" x14ac:dyDescent="0.2">
      <c r="A56" s="32" t="s">
        <v>32</v>
      </c>
      <c r="B56" s="29" t="s">
        <v>33</v>
      </c>
      <c r="C56" s="9">
        <v>6.0000000000000001E-3</v>
      </c>
      <c r="D56" s="13">
        <f t="shared" si="0"/>
        <v>11.05</v>
      </c>
    </row>
    <row r="57" spans="1:4" x14ac:dyDescent="0.2">
      <c r="A57" s="32" t="s">
        <v>14</v>
      </c>
      <c r="B57" s="29" t="s">
        <v>34</v>
      </c>
      <c r="C57" s="9">
        <v>2E-3</v>
      </c>
      <c r="D57" s="13">
        <f t="shared" si="0"/>
        <v>3.68</v>
      </c>
    </row>
    <row r="58" spans="1:4" x14ac:dyDescent="0.2">
      <c r="A58" s="32" t="s">
        <v>35</v>
      </c>
      <c r="B58" s="29" t="s">
        <v>36</v>
      </c>
      <c r="C58" s="9">
        <v>0.08</v>
      </c>
      <c r="D58" s="13">
        <f t="shared" si="0"/>
        <v>147.36000000000001</v>
      </c>
    </row>
    <row r="59" spans="1:4" x14ac:dyDescent="0.2">
      <c r="A59" s="99" t="s">
        <v>37</v>
      </c>
      <c r="B59" s="99"/>
      <c r="C59" s="15">
        <f>SUM(C51:C58)</f>
        <v>0.36800000000000005</v>
      </c>
      <c r="D59" s="19">
        <f>SUM(D51:D58)</f>
        <v>677.86999999999989</v>
      </c>
    </row>
    <row r="62" spans="1:4" x14ac:dyDescent="0.2">
      <c r="A62" s="111" t="s">
        <v>38</v>
      </c>
      <c r="B62" s="111"/>
      <c r="C62" s="111"/>
      <c r="D62" s="111"/>
    </row>
    <row r="64" spans="1:4" x14ac:dyDescent="0.2">
      <c r="A64" s="30" t="s">
        <v>39</v>
      </c>
      <c r="B64" s="110" t="s">
        <v>40</v>
      </c>
      <c r="C64" s="110"/>
      <c r="D64" s="30" t="s">
        <v>3</v>
      </c>
    </row>
    <row r="65" spans="1:5" x14ac:dyDescent="0.2">
      <c r="A65" s="32" t="s">
        <v>4</v>
      </c>
      <c r="B65" s="100" t="s">
        <v>41</v>
      </c>
      <c r="C65" s="100"/>
      <c r="D65" s="13">
        <f>IF((22*2*5.6)-(D28*0.06)&gt;0,(22*2*5.6)-(D28*0.06),0)</f>
        <v>153.86199999999997</v>
      </c>
    </row>
    <row r="66" spans="1:5" x14ac:dyDescent="0.2">
      <c r="A66" s="32" t="s">
        <v>6</v>
      </c>
      <c r="B66" s="100" t="s">
        <v>42</v>
      </c>
      <c r="C66" s="100"/>
      <c r="D66" s="13">
        <f>20*0.8*22</f>
        <v>352</v>
      </c>
    </row>
    <row r="67" spans="1:5" x14ac:dyDescent="0.2">
      <c r="A67" s="32" t="s">
        <v>8</v>
      </c>
      <c r="B67" s="100" t="s">
        <v>103</v>
      </c>
      <c r="C67" s="100"/>
      <c r="D67" s="13">
        <v>280</v>
      </c>
    </row>
    <row r="68" spans="1:5" x14ac:dyDescent="0.2">
      <c r="A68" s="32" t="s">
        <v>10</v>
      </c>
      <c r="B68" s="100" t="s">
        <v>104</v>
      </c>
      <c r="C68" s="100"/>
      <c r="D68" s="13">
        <v>23</v>
      </c>
    </row>
    <row r="69" spans="1:5" x14ac:dyDescent="0.2">
      <c r="A69" s="32" t="s">
        <v>12</v>
      </c>
      <c r="B69" s="100" t="s">
        <v>105</v>
      </c>
      <c r="C69" s="100"/>
      <c r="D69" s="13">
        <v>4.8</v>
      </c>
    </row>
    <row r="70" spans="1:5" x14ac:dyDescent="0.2">
      <c r="A70" s="99" t="s">
        <v>16</v>
      </c>
      <c r="B70" s="99"/>
      <c r="C70" s="99"/>
      <c r="D70" s="19">
        <f>SUM(D65:D69)</f>
        <v>813.66199999999992</v>
      </c>
    </row>
    <row r="71" spans="1:5" x14ac:dyDescent="0.2">
      <c r="E71" s="18"/>
    </row>
    <row r="73" spans="1:5" x14ac:dyDescent="0.2">
      <c r="A73" s="111" t="s">
        <v>43</v>
      </c>
      <c r="B73" s="111"/>
      <c r="C73" s="111"/>
      <c r="D73" s="111"/>
      <c r="E73" s="17"/>
    </row>
    <row r="74" spans="1:5" ht="12.75" customHeight="1" x14ac:dyDescent="0.2">
      <c r="E74" s="18"/>
    </row>
    <row r="75" spans="1:5" x14ac:dyDescent="0.2">
      <c r="A75" s="30">
        <v>2</v>
      </c>
      <c r="B75" s="110" t="s">
        <v>44</v>
      </c>
      <c r="C75" s="110"/>
      <c r="D75" s="30" t="s">
        <v>3</v>
      </c>
    </row>
    <row r="76" spans="1:5" x14ac:dyDescent="0.2">
      <c r="A76" s="32" t="s">
        <v>19</v>
      </c>
      <c r="B76" s="100" t="s">
        <v>20</v>
      </c>
      <c r="C76" s="100"/>
      <c r="D76" s="14">
        <f>D45</f>
        <v>299.81</v>
      </c>
    </row>
    <row r="77" spans="1:5" x14ac:dyDescent="0.2">
      <c r="A77" s="32" t="s">
        <v>24</v>
      </c>
      <c r="B77" s="100" t="s">
        <v>25</v>
      </c>
      <c r="C77" s="100"/>
      <c r="D77" s="14">
        <f>D59</f>
        <v>677.86999999999989</v>
      </c>
    </row>
    <row r="78" spans="1:5" x14ac:dyDescent="0.2">
      <c r="A78" s="32" t="s">
        <v>39</v>
      </c>
      <c r="B78" s="100" t="s">
        <v>40</v>
      </c>
      <c r="C78" s="100"/>
      <c r="D78" s="14">
        <f>D70</f>
        <v>813.66199999999992</v>
      </c>
    </row>
    <row r="79" spans="1:5" x14ac:dyDescent="0.2">
      <c r="A79" s="99" t="s">
        <v>16</v>
      </c>
      <c r="B79" s="99"/>
      <c r="C79" s="99"/>
      <c r="D79" s="19">
        <f>SUM(D76:D78)</f>
        <v>1791.3419999999996</v>
      </c>
    </row>
    <row r="80" spans="1:5" x14ac:dyDescent="0.2">
      <c r="A80" s="4"/>
    </row>
    <row r="82" spans="1:4" x14ac:dyDescent="0.2">
      <c r="A82" s="104" t="s">
        <v>45</v>
      </c>
      <c r="B82" s="104"/>
      <c r="C82" s="104"/>
      <c r="D82" s="104"/>
    </row>
    <row r="84" spans="1:4" x14ac:dyDescent="0.2">
      <c r="A84" s="30">
        <v>3</v>
      </c>
      <c r="B84" s="110" t="s">
        <v>46</v>
      </c>
      <c r="C84" s="110"/>
      <c r="D84" s="30" t="s">
        <v>3</v>
      </c>
    </row>
    <row r="85" spans="1:4" x14ac:dyDescent="0.2">
      <c r="A85" s="32" t="s">
        <v>4</v>
      </c>
      <c r="B85" s="10" t="s">
        <v>47</v>
      </c>
      <c r="C85" s="9">
        <f>TRUNC(((1/12)*5%),4)</f>
        <v>4.1000000000000003E-3</v>
      </c>
      <c r="D85" s="13">
        <f>TRUNC($D$35*C85,2)</f>
        <v>6.32</v>
      </c>
    </row>
    <row r="86" spans="1:4" x14ac:dyDescent="0.2">
      <c r="A86" s="32" t="s">
        <v>6</v>
      </c>
      <c r="B86" s="10" t="s">
        <v>48</v>
      </c>
      <c r="C86" s="9">
        <v>0.08</v>
      </c>
      <c r="D86" s="13">
        <f>TRUNC(D85*C86,2)</f>
        <v>0.5</v>
      </c>
    </row>
    <row r="87" spans="1:4" x14ac:dyDescent="0.2">
      <c r="A87" s="32" t="s">
        <v>8</v>
      </c>
      <c r="B87" s="10" t="s">
        <v>98</v>
      </c>
      <c r="C87" s="9">
        <f>TRUNC(8%*5%*40%,4)</f>
        <v>1.6000000000000001E-3</v>
      </c>
      <c r="D87" s="13">
        <f>TRUNC($D$35*C87,2)</f>
        <v>2.46</v>
      </c>
    </row>
    <row r="88" spans="1:4" x14ac:dyDescent="0.2">
      <c r="A88" s="32" t="s">
        <v>10</v>
      </c>
      <c r="B88" s="10" t="s">
        <v>49</v>
      </c>
      <c r="C88" s="9">
        <f>TRUNC(((7/30)/12)*95%,4)</f>
        <v>1.84E-2</v>
      </c>
      <c r="D88" s="13">
        <f>TRUNC($D$35*C88,2)</f>
        <v>28.37</v>
      </c>
    </row>
    <row r="89" spans="1:4" ht="25.5" x14ac:dyDescent="0.2">
      <c r="A89" s="32" t="s">
        <v>12</v>
      </c>
      <c r="B89" s="10" t="s">
        <v>93</v>
      </c>
      <c r="C89" s="9">
        <f>C59</f>
        <v>0.36800000000000005</v>
      </c>
      <c r="D89" s="13">
        <f>TRUNC(D88*C89,2)</f>
        <v>10.44</v>
      </c>
    </row>
    <row r="90" spans="1:4" x14ac:dyDescent="0.2">
      <c r="A90" s="32" t="s">
        <v>32</v>
      </c>
      <c r="B90" s="10" t="s">
        <v>99</v>
      </c>
      <c r="C90" s="9">
        <f>TRUNC(8%*95%*40%,4)</f>
        <v>3.04E-2</v>
      </c>
      <c r="D90" s="13">
        <f t="shared" ref="D90" si="1">TRUNC($D$35*C90,2)</f>
        <v>46.88</v>
      </c>
    </row>
    <row r="91" spans="1:4" x14ac:dyDescent="0.2">
      <c r="A91" s="108" t="s">
        <v>16</v>
      </c>
      <c r="B91" s="109"/>
      <c r="C91" s="112"/>
      <c r="D91" s="19">
        <f>SUM(D85:D90)</f>
        <v>94.97</v>
      </c>
    </row>
    <row r="94" spans="1:4" x14ac:dyDescent="0.2">
      <c r="A94" s="104" t="s">
        <v>50</v>
      </c>
      <c r="B94" s="104"/>
      <c r="C94" s="104"/>
      <c r="D94" s="104"/>
    </row>
    <row r="97" spans="1:6" x14ac:dyDescent="0.2">
      <c r="A97" s="111" t="s">
        <v>77</v>
      </c>
      <c r="B97" s="111"/>
      <c r="C97" s="111"/>
      <c r="D97" s="111"/>
      <c r="E97" s="17"/>
      <c r="F97" s="17"/>
    </row>
    <row r="98" spans="1:6" x14ac:dyDescent="0.2">
      <c r="A98" s="3"/>
    </row>
    <row r="99" spans="1:6" x14ac:dyDescent="0.2">
      <c r="A99" s="30" t="s">
        <v>51</v>
      </c>
      <c r="B99" s="110" t="s">
        <v>78</v>
      </c>
      <c r="C99" s="110"/>
      <c r="D99" s="30" t="s">
        <v>3</v>
      </c>
    </row>
    <row r="100" spans="1:6" x14ac:dyDescent="0.2">
      <c r="A100" s="32" t="s">
        <v>4</v>
      </c>
      <c r="B100" s="29" t="s">
        <v>79</v>
      </c>
      <c r="C100" s="9">
        <f>TRUNC(((1+1/3)/12)/12,4)</f>
        <v>9.1999999999999998E-3</v>
      </c>
      <c r="D100" s="13">
        <f>TRUNC(($D$35+$D$79+$D$91)*C100,2)</f>
        <v>31.54</v>
      </c>
    </row>
    <row r="101" spans="1:6" x14ac:dyDescent="0.2">
      <c r="A101" s="32" t="s">
        <v>6</v>
      </c>
      <c r="B101" s="29" t="s">
        <v>80</v>
      </c>
      <c r="C101" s="9">
        <f>TRUNC(((2/30)/12),4)</f>
        <v>5.4999999999999997E-3</v>
      </c>
      <c r="D101" s="13">
        <f t="shared" ref="D101:D105" si="2">TRUNC(($D$35+$D$79+$D$91)*C101,2)</f>
        <v>18.850000000000001</v>
      </c>
    </row>
    <row r="102" spans="1:6" x14ac:dyDescent="0.2">
      <c r="A102" s="32" t="s">
        <v>8</v>
      </c>
      <c r="B102" s="29" t="s">
        <v>81</v>
      </c>
      <c r="C102" s="9">
        <f>TRUNC(((5/30)/12)*2%,4)</f>
        <v>2.0000000000000001E-4</v>
      </c>
      <c r="D102" s="13">
        <f t="shared" si="2"/>
        <v>0.68</v>
      </c>
    </row>
    <row r="103" spans="1:6" x14ac:dyDescent="0.2">
      <c r="A103" s="32" t="s">
        <v>10</v>
      </c>
      <c r="B103" s="29" t="s">
        <v>82</v>
      </c>
      <c r="C103" s="9">
        <f>TRUNC(((15/30)/12)*8%,4)</f>
        <v>3.3E-3</v>
      </c>
      <c r="D103" s="13">
        <f t="shared" si="2"/>
        <v>11.31</v>
      </c>
    </row>
    <row r="104" spans="1:6" x14ac:dyDescent="0.2">
      <c r="A104" s="32" t="s">
        <v>12</v>
      </c>
      <c r="B104" s="29" t="s">
        <v>83</v>
      </c>
      <c r="C104" s="9">
        <f>((1+1/3)/12)*3%*(4/12)</f>
        <v>1.1111111111111109E-3</v>
      </c>
      <c r="D104" s="13">
        <f t="shared" si="2"/>
        <v>3.8</v>
      </c>
    </row>
    <row r="105" spans="1:6" x14ac:dyDescent="0.2">
      <c r="A105" s="32" t="s">
        <v>32</v>
      </c>
      <c r="B105" s="29" t="s">
        <v>84</v>
      </c>
      <c r="C105" s="9"/>
      <c r="D105" s="13">
        <f t="shared" si="2"/>
        <v>0</v>
      </c>
    </row>
    <row r="106" spans="1:6" x14ac:dyDescent="0.2">
      <c r="A106" s="99" t="s">
        <v>37</v>
      </c>
      <c r="B106" s="99"/>
      <c r="C106" s="99"/>
      <c r="D106" s="19">
        <f>SUM(D100:D105)</f>
        <v>66.180000000000007</v>
      </c>
    </row>
    <row r="109" spans="1:6" x14ac:dyDescent="0.2">
      <c r="A109" s="111" t="s">
        <v>85</v>
      </c>
      <c r="B109" s="111"/>
      <c r="C109" s="111"/>
      <c r="D109" s="111"/>
    </row>
    <row r="110" spans="1:6" x14ac:dyDescent="0.2">
      <c r="A110" s="3"/>
    </row>
    <row r="111" spans="1:6" x14ac:dyDescent="0.2">
      <c r="A111" s="30" t="s">
        <v>52</v>
      </c>
      <c r="B111" s="110" t="s">
        <v>86</v>
      </c>
      <c r="C111" s="110"/>
      <c r="D111" s="30" t="s">
        <v>3</v>
      </c>
    </row>
    <row r="112" spans="1:6" x14ac:dyDescent="0.2">
      <c r="A112" s="32" t="s">
        <v>4</v>
      </c>
      <c r="B112" s="105" t="s">
        <v>87</v>
      </c>
      <c r="C112" s="106"/>
      <c r="D112" s="13">
        <f>((D35+D79+D91)/220)*22*0</f>
        <v>0</v>
      </c>
    </row>
    <row r="113" spans="1:4" x14ac:dyDescent="0.2">
      <c r="A113" s="99" t="s">
        <v>16</v>
      </c>
      <c r="B113" s="99"/>
      <c r="C113" s="99"/>
      <c r="D113" s="19">
        <f>SUM(D112)</f>
        <v>0</v>
      </c>
    </row>
    <row r="116" spans="1:4" x14ac:dyDescent="0.2">
      <c r="A116" s="111" t="s">
        <v>53</v>
      </c>
      <c r="B116" s="111"/>
      <c r="C116" s="111"/>
      <c r="D116" s="111"/>
    </row>
    <row r="117" spans="1:4" x14ac:dyDescent="0.2">
      <c r="A117" s="3"/>
    </row>
    <row r="118" spans="1:4" x14ac:dyDescent="0.2">
      <c r="A118" s="30">
        <v>4</v>
      </c>
      <c r="B118" s="99" t="s">
        <v>54</v>
      </c>
      <c r="C118" s="99"/>
      <c r="D118" s="30" t="s">
        <v>3</v>
      </c>
    </row>
    <row r="119" spans="1:4" x14ac:dyDescent="0.2">
      <c r="A119" s="32" t="s">
        <v>51</v>
      </c>
      <c r="B119" s="100" t="s">
        <v>78</v>
      </c>
      <c r="C119" s="100"/>
      <c r="D119" s="14">
        <f>D106</f>
        <v>66.180000000000007</v>
      </c>
    </row>
    <row r="120" spans="1:4" x14ac:dyDescent="0.2">
      <c r="A120" s="32" t="s">
        <v>52</v>
      </c>
      <c r="B120" s="100" t="s">
        <v>86</v>
      </c>
      <c r="C120" s="100"/>
      <c r="D120" s="14">
        <f>D113</f>
        <v>0</v>
      </c>
    </row>
    <row r="121" spans="1:4" x14ac:dyDescent="0.2">
      <c r="A121" s="99" t="s">
        <v>16</v>
      </c>
      <c r="B121" s="99"/>
      <c r="C121" s="99"/>
      <c r="D121" s="19">
        <f>SUM(D119:D120)</f>
        <v>66.180000000000007</v>
      </c>
    </row>
    <row r="124" spans="1:4" x14ac:dyDescent="0.2">
      <c r="A124" s="104" t="s">
        <v>55</v>
      </c>
      <c r="B124" s="104"/>
      <c r="C124" s="104"/>
      <c r="D124" s="104"/>
    </row>
    <row r="126" spans="1:4" x14ac:dyDescent="0.2">
      <c r="A126" s="30">
        <v>5</v>
      </c>
      <c r="B126" s="107" t="s">
        <v>56</v>
      </c>
      <c r="C126" s="107"/>
      <c r="D126" s="30" t="s">
        <v>3</v>
      </c>
    </row>
    <row r="127" spans="1:4" x14ac:dyDescent="0.2">
      <c r="A127" s="32" t="s">
        <v>4</v>
      </c>
      <c r="B127" s="29" t="s">
        <v>57</v>
      </c>
      <c r="C127" s="29"/>
      <c r="D127" s="13">
        <v>7.94</v>
      </c>
    </row>
    <row r="128" spans="1:4" x14ac:dyDescent="0.2">
      <c r="A128" s="32" t="s">
        <v>6</v>
      </c>
      <c r="B128" s="29" t="s">
        <v>58</v>
      </c>
      <c r="C128" s="29"/>
      <c r="D128" s="13">
        <v>0</v>
      </c>
    </row>
    <row r="129" spans="1:4" x14ac:dyDescent="0.2">
      <c r="A129" s="32" t="s">
        <v>8</v>
      </c>
      <c r="B129" s="29" t="s">
        <v>59</v>
      </c>
      <c r="C129" s="29"/>
      <c r="D129" s="13">
        <v>0.4</v>
      </c>
    </row>
    <row r="130" spans="1:4" x14ac:dyDescent="0.2">
      <c r="A130" s="32" t="s">
        <v>10</v>
      </c>
      <c r="B130" s="29" t="s">
        <v>106</v>
      </c>
      <c r="C130" s="29"/>
      <c r="D130" s="13">
        <v>0</v>
      </c>
    </row>
    <row r="131" spans="1:4" x14ac:dyDescent="0.2">
      <c r="A131" s="89" t="s">
        <v>12</v>
      </c>
      <c r="B131" s="88" t="s">
        <v>268</v>
      </c>
      <c r="C131" s="88"/>
      <c r="D131" s="13">
        <v>0.28000000000000003</v>
      </c>
    </row>
    <row r="132" spans="1:4" x14ac:dyDescent="0.2">
      <c r="A132" s="99" t="s">
        <v>37</v>
      </c>
      <c r="B132" s="99"/>
      <c r="C132" s="99"/>
      <c r="D132" s="20">
        <f>SUM(D127:D131)</f>
        <v>8.6199999999999992</v>
      </c>
    </row>
    <row r="135" spans="1:4" x14ac:dyDescent="0.2">
      <c r="A135" s="104" t="s">
        <v>60</v>
      </c>
      <c r="B135" s="104"/>
      <c r="C135" s="104"/>
      <c r="D135" s="104"/>
    </row>
    <row r="137" spans="1:4" x14ac:dyDescent="0.2">
      <c r="A137" s="30">
        <v>6</v>
      </c>
      <c r="B137" s="31" t="s">
        <v>61</v>
      </c>
      <c r="C137" s="30" t="s">
        <v>26</v>
      </c>
      <c r="D137" s="30" t="s">
        <v>3</v>
      </c>
    </row>
    <row r="138" spans="1:4" x14ac:dyDescent="0.2">
      <c r="A138" s="32" t="s">
        <v>4</v>
      </c>
      <c r="B138" s="29" t="s">
        <v>62</v>
      </c>
      <c r="C138" s="9">
        <v>0.05</v>
      </c>
      <c r="D138" s="14">
        <f>D158*C138</f>
        <v>175.17059999999998</v>
      </c>
    </row>
    <row r="139" spans="1:4" x14ac:dyDescent="0.2">
      <c r="A139" s="32" t="s">
        <v>6</v>
      </c>
      <c r="B139" s="29" t="s">
        <v>63</v>
      </c>
      <c r="C139" s="9">
        <v>0.06</v>
      </c>
      <c r="D139" s="13">
        <f>(D158+D138)*C139</f>
        <v>220.71495599999994</v>
      </c>
    </row>
    <row r="140" spans="1:4" x14ac:dyDescent="0.2">
      <c r="A140" s="32" t="s">
        <v>8</v>
      </c>
      <c r="B140" s="29" t="s">
        <v>64</v>
      </c>
      <c r="C140" s="12">
        <f>SUM(C141:C146)</f>
        <v>8.6499999999999994E-2</v>
      </c>
      <c r="D140" s="13">
        <f>(D158+D138+D139)*C140/(1-C140)</f>
        <v>369.22740951724126</v>
      </c>
    </row>
    <row r="141" spans="1:4" x14ac:dyDescent="0.2">
      <c r="A141" s="32"/>
      <c r="B141" s="29" t="s">
        <v>65</v>
      </c>
      <c r="C141" s="9"/>
      <c r="D141" s="14">
        <f>$D$160*C141</f>
        <v>0</v>
      </c>
    </row>
    <row r="142" spans="1:4" x14ac:dyDescent="0.2">
      <c r="A142" s="32"/>
      <c r="B142" s="29" t="s">
        <v>95</v>
      </c>
      <c r="C142" s="9">
        <v>6.4999999999999997E-3</v>
      </c>
      <c r="D142" s="14">
        <f t="shared" ref="D142:D146" si="3">$D$160*C142</f>
        <v>27.745380000000001</v>
      </c>
    </row>
    <row r="143" spans="1:4" x14ac:dyDescent="0.2">
      <c r="A143" s="32"/>
      <c r="B143" s="29" t="s">
        <v>96</v>
      </c>
      <c r="C143" s="9">
        <v>0.03</v>
      </c>
      <c r="D143" s="14">
        <f t="shared" si="3"/>
        <v>128.0556</v>
      </c>
    </row>
    <row r="144" spans="1:4" x14ac:dyDescent="0.2">
      <c r="A144" s="32"/>
      <c r="B144" s="29" t="s">
        <v>66</v>
      </c>
      <c r="C144" s="32"/>
      <c r="D144" s="14">
        <f t="shared" si="3"/>
        <v>0</v>
      </c>
    </row>
    <row r="145" spans="1:4" x14ac:dyDescent="0.2">
      <c r="A145" s="32"/>
      <c r="B145" s="29" t="s">
        <v>67</v>
      </c>
      <c r="C145" s="9"/>
      <c r="D145" s="14">
        <f t="shared" si="3"/>
        <v>0</v>
      </c>
    </row>
    <row r="146" spans="1:4" x14ac:dyDescent="0.2">
      <c r="A146" s="32"/>
      <c r="B146" s="29" t="s">
        <v>97</v>
      </c>
      <c r="C146" s="9">
        <v>0.05</v>
      </c>
      <c r="D146" s="14">
        <f t="shared" si="3"/>
        <v>213.42600000000004</v>
      </c>
    </row>
    <row r="147" spans="1:4" ht="13.5" x14ac:dyDescent="0.2">
      <c r="A147" s="108" t="s">
        <v>37</v>
      </c>
      <c r="B147" s="109"/>
      <c r="C147" s="21">
        <f>(1+C139)*(1+C138)/(1-C140)-1</f>
        <v>0.21839080459770144</v>
      </c>
      <c r="D147" s="19">
        <f>SUM(D138:D140)</f>
        <v>765.11296551724126</v>
      </c>
    </row>
    <row r="150" spans="1:4" x14ac:dyDescent="0.2">
      <c r="A150" s="104" t="s">
        <v>68</v>
      </c>
      <c r="B150" s="104"/>
      <c r="C150" s="104"/>
      <c r="D150" s="104"/>
    </row>
    <row r="152" spans="1:4" x14ac:dyDescent="0.2">
      <c r="A152" s="30"/>
      <c r="B152" s="99" t="s">
        <v>69</v>
      </c>
      <c r="C152" s="99"/>
      <c r="D152" s="30" t="s">
        <v>3</v>
      </c>
    </row>
    <row r="153" spans="1:4" x14ac:dyDescent="0.2">
      <c r="A153" s="30" t="s">
        <v>4</v>
      </c>
      <c r="B153" s="100" t="s">
        <v>1</v>
      </c>
      <c r="C153" s="100"/>
      <c r="D153" s="22">
        <f>D35</f>
        <v>1542.3</v>
      </c>
    </row>
    <row r="154" spans="1:4" x14ac:dyDescent="0.2">
      <c r="A154" s="30" t="s">
        <v>6</v>
      </c>
      <c r="B154" s="100" t="s">
        <v>17</v>
      </c>
      <c r="C154" s="100"/>
      <c r="D154" s="22">
        <f>D79</f>
        <v>1791.3419999999996</v>
      </c>
    </row>
    <row r="155" spans="1:4" x14ac:dyDescent="0.2">
      <c r="A155" s="30" t="s">
        <v>8</v>
      </c>
      <c r="B155" s="100" t="s">
        <v>45</v>
      </c>
      <c r="C155" s="100"/>
      <c r="D155" s="22">
        <f>D91</f>
        <v>94.97</v>
      </c>
    </row>
    <row r="156" spans="1:4" x14ac:dyDescent="0.2">
      <c r="A156" s="30" t="s">
        <v>10</v>
      </c>
      <c r="B156" s="100" t="s">
        <v>50</v>
      </c>
      <c r="C156" s="100"/>
      <c r="D156" s="22">
        <f>D121</f>
        <v>66.180000000000007</v>
      </c>
    </row>
    <row r="157" spans="1:4" x14ac:dyDescent="0.2">
      <c r="A157" s="30" t="s">
        <v>12</v>
      </c>
      <c r="B157" s="100" t="s">
        <v>55</v>
      </c>
      <c r="C157" s="100"/>
      <c r="D157" s="22">
        <f>D132</f>
        <v>8.6199999999999992</v>
      </c>
    </row>
    <row r="158" spans="1:4" x14ac:dyDescent="0.2">
      <c r="A158" s="99" t="s">
        <v>94</v>
      </c>
      <c r="B158" s="99"/>
      <c r="C158" s="99"/>
      <c r="D158" s="23">
        <f>SUM(D153:D157)</f>
        <v>3503.4119999999994</v>
      </c>
    </row>
    <row r="159" spans="1:4" x14ac:dyDescent="0.2">
      <c r="A159" s="30" t="s">
        <v>32</v>
      </c>
      <c r="B159" s="100" t="s">
        <v>70</v>
      </c>
      <c r="C159" s="100"/>
      <c r="D159" s="24">
        <f>D147</f>
        <v>765.11296551724126</v>
      </c>
    </row>
    <row r="160" spans="1:4" x14ac:dyDescent="0.2">
      <c r="A160" s="99" t="s">
        <v>71</v>
      </c>
      <c r="B160" s="99"/>
      <c r="C160" s="99"/>
      <c r="D160" s="23">
        <f>ROUND(SUM(D158:D159),2)</f>
        <v>4268.5200000000004</v>
      </c>
    </row>
  </sheetData>
  <mergeCells count="75">
    <mergeCell ref="B156:C156"/>
    <mergeCell ref="B157:C157"/>
    <mergeCell ref="A158:C158"/>
    <mergeCell ref="B159:C159"/>
    <mergeCell ref="A160:C160"/>
    <mergeCell ref="B155:C155"/>
    <mergeCell ref="B120:C120"/>
    <mergeCell ref="A121:C121"/>
    <mergeCell ref="A124:D124"/>
    <mergeCell ref="B126:C126"/>
    <mergeCell ref="A132:C132"/>
    <mergeCell ref="A135:D135"/>
    <mergeCell ref="A147:B147"/>
    <mergeCell ref="A150:D150"/>
    <mergeCell ref="B152:C152"/>
    <mergeCell ref="B153:C153"/>
    <mergeCell ref="B154:C154"/>
    <mergeCell ref="B119:C119"/>
    <mergeCell ref="A91:C91"/>
    <mergeCell ref="A94:D94"/>
    <mergeCell ref="A97:D97"/>
    <mergeCell ref="B99:C99"/>
    <mergeCell ref="A106:C106"/>
    <mergeCell ref="A109:D109"/>
    <mergeCell ref="B111:C111"/>
    <mergeCell ref="B112:C112"/>
    <mergeCell ref="A113:C113"/>
    <mergeCell ref="A116:D116"/>
    <mergeCell ref="B118:C118"/>
    <mergeCell ref="B84:C84"/>
    <mergeCell ref="B67:C67"/>
    <mergeCell ref="B68:C68"/>
    <mergeCell ref="B69:C69"/>
    <mergeCell ref="A70:C70"/>
    <mergeCell ref="A73:D73"/>
    <mergeCell ref="B75:C75"/>
    <mergeCell ref="B76:C76"/>
    <mergeCell ref="B77:C77"/>
    <mergeCell ref="B78:C78"/>
    <mergeCell ref="A79:C79"/>
    <mergeCell ref="A82:D82"/>
    <mergeCell ref="B66:C66"/>
    <mergeCell ref="B34:C34"/>
    <mergeCell ref="A35:C35"/>
    <mergeCell ref="A38:D38"/>
    <mergeCell ref="A40:D40"/>
    <mergeCell ref="B42:C42"/>
    <mergeCell ref="A45:B45"/>
    <mergeCell ref="A48:D48"/>
    <mergeCell ref="A59:B59"/>
    <mergeCell ref="A62:D62"/>
    <mergeCell ref="B64:C64"/>
    <mergeCell ref="B65:C65"/>
    <mergeCell ref="B33:C33"/>
    <mergeCell ref="C20:D20"/>
    <mergeCell ref="C21:D21"/>
    <mergeCell ref="C22:D22"/>
    <mergeCell ref="C23:D23"/>
    <mergeCell ref="A25:D25"/>
    <mergeCell ref="B27:C27"/>
    <mergeCell ref="B28:C28"/>
    <mergeCell ref="B29:C29"/>
    <mergeCell ref="B30:C30"/>
    <mergeCell ref="B31:C31"/>
    <mergeCell ref="B32:C32"/>
    <mergeCell ref="C19:D19"/>
    <mergeCell ref="A1:D1"/>
    <mergeCell ref="A12:D12"/>
    <mergeCell ref="A14:B14"/>
    <mergeCell ref="A15:B15"/>
    <mergeCell ref="A17:D17"/>
    <mergeCell ref="A3:D3"/>
    <mergeCell ref="A5:D5"/>
    <mergeCell ref="B9:C9"/>
    <mergeCell ref="B10:C10"/>
  </mergeCells>
  <pageMargins left="0.51181102362204722" right="0.51181102362204722" top="0.78740157480314965" bottom="0.78740157480314965" header="0.31496062992125984" footer="0.31496062992125984"/>
  <pageSetup paperSize="9" scale="84" fitToHeight="0" orientation="portrait" r:id="rId1"/>
  <headerFooter>
    <oddHeader>&amp;C&amp;G</oddHead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60"/>
  <sheetViews>
    <sheetView zoomScale="115" zoomScaleNormal="115" workbookViewId="0">
      <selection activeCell="D132" sqref="D132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113" t="s">
        <v>0</v>
      </c>
      <c r="B1" s="113"/>
      <c r="C1" s="113"/>
      <c r="D1" s="113"/>
    </row>
    <row r="2" spans="1:4" ht="15.75" x14ac:dyDescent="0.25">
      <c r="A2" s="26"/>
      <c r="B2" s="26"/>
      <c r="C2" s="26"/>
      <c r="D2" s="26"/>
    </row>
    <row r="3" spans="1:4" x14ac:dyDescent="0.2">
      <c r="A3" s="90" t="s">
        <v>255</v>
      </c>
      <c r="B3" s="90"/>
      <c r="C3" s="90"/>
      <c r="D3" s="90"/>
    </row>
    <row r="4" spans="1:4" x14ac:dyDescent="0.2">
      <c r="A4" s="2"/>
      <c r="B4" s="2"/>
      <c r="C4" s="2"/>
      <c r="D4" s="2"/>
    </row>
    <row r="5" spans="1:4" x14ac:dyDescent="0.2">
      <c r="A5" s="91" t="s">
        <v>256</v>
      </c>
      <c r="B5" s="92"/>
      <c r="C5" s="92"/>
      <c r="D5" s="93"/>
    </row>
    <row r="6" spans="1:4" x14ac:dyDescent="0.2">
      <c r="A6" s="83" t="s">
        <v>4</v>
      </c>
      <c r="B6" s="84" t="s">
        <v>257</v>
      </c>
      <c r="C6" s="85"/>
      <c r="D6" s="86" t="s">
        <v>262</v>
      </c>
    </row>
    <row r="7" spans="1:4" x14ac:dyDescent="0.2">
      <c r="A7" s="83" t="s">
        <v>6</v>
      </c>
      <c r="B7" s="84" t="s">
        <v>258</v>
      </c>
      <c r="C7" s="85"/>
      <c r="D7" s="86" t="s">
        <v>263</v>
      </c>
    </row>
    <row r="8" spans="1:4" x14ac:dyDescent="0.2">
      <c r="A8" s="83" t="s">
        <v>8</v>
      </c>
      <c r="B8" s="84" t="s">
        <v>259</v>
      </c>
      <c r="C8" s="85"/>
      <c r="D8" s="87">
        <v>45785</v>
      </c>
    </row>
    <row r="9" spans="1:4" x14ac:dyDescent="0.2">
      <c r="A9" s="83" t="s">
        <v>10</v>
      </c>
      <c r="B9" s="94" t="s">
        <v>264</v>
      </c>
      <c r="C9" s="95"/>
      <c r="D9" s="86" t="s">
        <v>260</v>
      </c>
    </row>
    <row r="10" spans="1:4" x14ac:dyDescent="0.2">
      <c r="A10" s="83" t="s">
        <v>12</v>
      </c>
      <c r="B10" s="94" t="s">
        <v>265</v>
      </c>
      <c r="C10" s="95"/>
      <c r="D10" s="86" t="s">
        <v>261</v>
      </c>
    </row>
    <row r="12" spans="1:4" x14ac:dyDescent="0.2">
      <c r="A12" s="103" t="s">
        <v>88</v>
      </c>
      <c r="B12" s="103"/>
      <c r="C12" s="103"/>
      <c r="D12" s="103"/>
    </row>
    <row r="13" spans="1:4" x14ac:dyDescent="0.2">
      <c r="A13" s="2"/>
      <c r="B13" s="2"/>
      <c r="C13" s="2"/>
      <c r="D13" s="2"/>
    </row>
    <row r="14" spans="1:4" ht="38.25" x14ac:dyDescent="0.2">
      <c r="A14" s="115" t="s">
        <v>89</v>
      </c>
      <c r="B14" s="115"/>
      <c r="C14" s="32" t="s">
        <v>90</v>
      </c>
      <c r="D14" s="27" t="s">
        <v>91</v>
      </c>
    </row>
    <row r="15" spans="1:4" x14ac:dyDescent="0.2">
      <c r="A15" s="96" t="s">
        <v>184</v>
      </c>
      <c r="B15" s="96"/>
      <c r="C15" s="33" t="s">
        <v>101</v>
      </c>
      <c r="D15" s="33">
        <v>32</v>
      </c>
    </row>
    <row r="17" spans="1:4" x14ac:dyDescent="0.2">
      <c r="A17" s="103" t="s">
        <v>72</v>
      </c>
      <c r="B17" s="103"/>
      <c r="C17" s="103"/>
      <c r="D17" s="103"/>
    </row>
    <row r="18" spans="1:4" x14ac:dyDescent="0.2">
      <c r="A18" s="2"/>
      <c r="B18" s="2"/>
      <c r="C18" s="2"/>
      <c r="D18" s="2"/>
    </row>
    <row r="19" spans="1:4" x14ac:dyDescent="0.2">
      <c r="A19" s="5">
        <v>1</v>
      </c>
      <c r="B19" s="5" t="s">
        <v>73</v>
      </c>
      <c r="C19" s="97" t="s">
        <v>117</v>
      </c>
      <c r="D19" s="98"/>
    </row>
    <row r="20" spans="1:4" x14ac:dyDescent="0.2">
      <c r="A20" s="5">
        <v>2</v>
      </c>
      <c r="B20" s="5" t="s">
        <v>92</v>
      </c>
      <c r="C20" s="97" t="s">
        <v>118</v>
      </c>
      <c r="D20" s="98"/>
    </row>
    <row r="21" spans="1:4" x14ac:dyDescent="0.2">
      <c r="A21" s="5">
        <v>3</v>
      </c>
      <c r="B21" s="5" t="s">
        <v>74</v>
      </c>
      <c r="C21" s="101">
        <v>1530</v>
      </c>
      <c r="D21" s="102"/>
    </row>
    <row r="22" spans="1:4" x14ac:dyDescent="0.2">
      <c r="A22" s="5">
        <v>4</v>
      </c>
      <c r="B22" s="5" t="s">
        <v>75</v>
      </c>
      <c r="C22" s="97"/>
      <c r="D22" s="98"/>
    </row>
    <row r="23" spans="1:4" x14ac:dyDescent="0.2">
      <c r="A23" s="5">
        <v>5</v>
      </c>
      <c r="B23" s="5" t="s">
        <v>76</v>
      </c>
      <c r="C23" s="97"/>
      <c r="D23" s="98"/>
    </row>
    <row r="25" spans="1:4" x14ac:dyDescent="0.2">
      <c r="A25" s="103" t="s">
        <v>1</v>
      </c>
      <c r="B25" s="103"/>
      <c r="C25" s="103"/>
      <c r="D25" s="103"/>
    </row>
    <row r="27" spans="1:4" x14ac:dyDescent="0.2">
      <c r="A27" s="30">
        <v>1</v>
      </c>
      <c r="B27" s="99" t="s">
        <v>2</v>
      </c>
      <c r="C27" s="99"/>
      <c r="D27" s="30" t="s">
        <v>3</v>
      </c>
    </row>
    <row r="28" spans="1:4" x14ac:dyDescent="0.2">
      <c r="A28" s="32" t="s">
        <v>4</v>
      </c>
      <c r="B28" s="100" t="s">
        <v>5</v>
      </c>
      <c r="C28" s="100"/>
      <c r="D28" s="13">
        <v>1530</v>
      </c>
    </row>
    <row r="29" spans="1:4" x14ac:dyDescent="0.2">
      <c r="A29" s="32" t="s">
        <v>6</v>
      </c>
      <c r="B29" s="100" t="s">
        <v>7</v>
      </c>
      <c r="C29" s="100"/>
      <c r="D29" s="13"/>
    </row>
    <row r="30" spans="1:4" x14ac:dyDescent="0.2">
      <c r="A30" s="32" t="s">
        <v>8</v>
      </c>
      <c r="B30" s="100" t="s">
        <v>9</v>
      </c>
      <c r="C30" s="100"/>
      <c r="D30" s="13">
        <f>1518*0.2</f>
        <v>303.60000000000002</v>
      </c>
    </row>
    <row r="31" spans="1:4" x14ac:dyDescent="0.2">
      <c r="A31" s="32" t="s">
        <v>10</v>
      </c>
      <c r="B31" s="100" t="s">
        <v>11</v>
      </c>
      <c r="C31" s="100"/>
      <c r="D31" s="13"/>
    </row>
    <row r="32" spans="1:4" x14ac:dyDescent="0.2">
      <c r="A32" s="32" t="s">
        <v>12</v>
      </c>
      <c r="B32" s="100" t="s">
        <v>13</v>
      </c>
      <c r="C32" s="100"/>
      <c r="D32" s="13"/>
    </row>
    <row r="33" spans="1:4" x14ac:dyDescent="0.2">
      <c r="A33" s="32"/>
      <c r="B33" s="100"/>
      <c r="C33" s="100"/>
      <c r="D33" s="13"/>
    </row>
    <row r="34" spans="1:4" x14ac:dyDescent="0.2">
      <c r="A34" s="32" t="s">
        <v>14</v>
      </c>
      <c r="B34" s="100" t="s">
        <v>15</v>
      </c>
      <c r="C34" s="100"/>
      <c r="D34" s="13"/>
    </row>
    <row r="35" spans="1:4" x14ac:dyDescent="0.2">
      <c r="A35" s="99" t="s">
        <v>16</v>
      </c>
      <c r="B35" s="99"/>
      <c r="C35" s="99"/>
      <c r="D35" s="20">
        <f>SUM(D28:D34)</f>
        <v>1833.6</v>
      </c>
    </row>
    <row r="38" spans="1:4" x14ac:dyDescent="0.2">
      <c r="A38" s="104" t="s">
        <v>17</v>
      </c>
      <c r="B38" s="104"/>
      <c r="C38" s="104"/>
      <c r="D38" s="104"/>
    </row>
    <row r="39" spans="1:4" x14ac:dyDescent="0.2">
      <c r="A39" s="3"/>
    </row>
    <row r="40" spans="1:4" x14ac:dyDescent="0.2">
      <c r="A40" s="111" t="s">
        <v>18</v>
      </c>
      <c r="B40" s="111"/>
      <c r="C40" s="111"/>
      <c r="D40" s="111"/>
    </row>
    <row r="42" spans="1:4" x14ac:dyDescent="0.2">
      <c r="A42" s="30" t="s">
        <v>19</v>
      </c>
      <c r="B42" s="99" t="s">
        <v>20</v>
      </c>
      <c r="C42" s="99"/>
      <c r="D42" s="30" t="s">
        <v>3</v>
      </c>
    </row>
    <row r="43" spans="1:4" x14ac:dyDescent="0.2">
      <c r="A43" s="32" t="s">
        <v>4</v>
      </c>
      <c r="B43" s="29" t="s">
        <v>21</v>
      </c>
      <c r="C43" s="12">
        <f>TRUNC(1/12,4)</f>
        <v>8.3299999999999999E-2</v>
      </c>
      <c r="D43" s="13">
        <f>TRUNC($D$35*C43,2)</f>
        <v>152.72999999999999</v>
      </c>
    </row>
    <row r="44" spans="1:4" x14ac:dyDescent="0.2">
      <c r="A44" s="32" t="s">
        <v>6</v>
      </c>
      <c r="B44" s="29" t="s">
        <v>22</v>
      </c>
      <c r="C44" s="12">
        <f>TRUNC(((1+1/3)/12),4)</f>
        <v>0.1111</v>
      </c>
      <c r="D44" s="13">
        <f>TRUNC($D$35*C44,2)</f>
        <v>203.71</v>
      </c>
    </row>
    <row r="45" spans="1:4" x14ac:dyDescent="0.2">
      <c r="A45" s="99" t="s">
        <v>16</v>
      </c>
      <c r="B45" s="99"/>
      <c r="C45" s="28">
        <f>SUM(C43:C44)</f>
        <v>0.19440000000000002</v>
      </c>
      <c r="D45" s="19">
        <f>SUM(D43:D44)</f>
        <v>356.44</v>
      </c>
    </row>
    <row r="48" spans="1:4" x14ac:dyDescent="0.2">
      <c r="A48" s="114" t="s">
        <v>23</v>
      </c>
      <c r="B48" s="114"/>
      <c r="C48" s="114"/>
      <c r="D48" s="114"/>
    </row>
    <row r="50" spans="1:4" x14ac:dyDescent="0.2">
      <c r="A50" s="30" t="s">
        <v>24</v>
      </c>
      <c r="B50" s="30" t="s">
        <v>25</v>
      </c>
      <c r="C50" s="30" t="s">
        <v>26</v>
      </c>
      <c r="D50" s="30" t="s">
        <v>3</v>
      </c>
    </row>
    <row r="51" spans="1:4" x14ac:dyDescent="0.2">
      <c r="A51" s="32" t="s">
        <v>4</v>
      </c>
      <c r="B51" s="29" t="s">
        <v>27</v>
      </c>
      <c r="C51" s="9">
        <v>0.2</v>
      </c>
      <c r="D51" s="13">
        <f>TRUNC(($D$35+$D$45)*C51,2)</f>
        <v>438</v>
      </c>
    </row>
    <row r="52" spans="1:4" x14ac:dyDescent="0.2">
      <c r="A52" s="32" t="s">
        <v>6</v>
      </c>
      <c r="B52" s="29" t="s">
        <v>28</v>
      </c>
      <c r="C52" s="9">
        <v>2.5000000000000001E-2</v>
      </c>
      <c r="D52" s="13">
        <f t="shared" ref="D52:D58" si="0">TRUNC(($D$35+$D$45)*C52,2)</f>
        <v>54.75</v>
      </c>
    </row>
    <row r="53" spans="1:4" x14ac:dyDescent="0.2">
      <c r="A53" s="32" t="s">
        <v>8</v>
      </c>
      <c r="B53" s="29" t="s">
        <v>29</v>
      </c>
      <c r="C53" s="16">
        <v>0.03</v>
      </c>
      <c r="D53" s="13">
        <f t="shared" si="0"/>
        <v>65.7</v>
      </c>
    </row>
    <row r="54" spans="1:4" x14ac:dyDescent="0.2">
      <c r="A54" s="32" t="s">
        <v>10</v>
      </c>
      <c r="B54" s="29" t="s">
        <v>30</v>
      </c>
      <c r="C54" s="9">
        <v>1.4999999999999999E-2</v>
      </c>
      <c r="D54" s="13">
        <f t="shared" si="0"/>
        <v>32.85</v>
      </c>
    </row>
    <row r="55" spans="1:4" x14ac:dyDescent="0.2">
      <c r="A55" s="32" t="s">
        <v>12</v>
      </c>
      <c r="B55" s="29" t="s">
        <v>31</v>
      </c>
      <c r="C55" s="9">
        <v>0.01</v>
      </c>
      <c r="D55" s="13">
        <f t="shared" si="0"/>
        <v>21.9</v>
      </c>
    </row>
    <row r="56" spans="1:4" x14ac:dyDescent="0.2">
      <c r="A56" s="32" t="s">
        <v>32</v>
      </c>
      <c r="B56" s="29" t="s">
        <v>33</v>
      </c>
      <c r="C56" s="9">
        <v>6.0000000000000001E-3</v>
      </c>
      <c r="D56" s="13">
        <f t="shared" si="0"/>
        <v>13.14</v>
      </c>
    </row>
    <row r="57" spans="1:4" x14ac:dyDescent="0.2">
      <c r="A57" s="32" t="s">
        <v>14</v>
      </c>
      <c r="B57" s="29" t="s">
        <v>34</v>
      </c>
      <c r="C57" s="9">
        <v>2E-3</v>
      </c>
      <c r="D57" s="13">
        <f t="shared" si="0"/>
        <v>4.38</v>
      </c>
    </row>
    <row r="58" spans="1:4" x14ac:dyDescent="0.2">
      <c r="A58" s="32" t="s">
        <v>35</v>
      </c>
      <c r="B58" s="29" t="s">
        <v>36</v>
      </c>
      <c r="C58" s="9">
        <v>0.08</v>
      </c>
      <c r="D58" s="13">
        <f t="shared" si="0"/>
        <v>175.2</v>
      </c>
    </row>
    <row r="59" spans="1:4" x14ac:dyDescent="0.2">
      <c r="A59" s="99" t="s">
        <v>37</v>
      </c>
      <c r="B59" s="99"/>
      <c r="C59" s="15">
        <f>SUM(C51:C58)</f>
        <v>0.36800000000000005</v>
      </c>
      <c r="D59" s="19">
        <f>SUM(D51:D58)</f>
        <v>805.92000000000007</v>
      </c>
    </row>
    <row r="62" spans="1:4" x14ac:dyDescent="0.2">
      <c r="A62" s="111" t="s">
        <v>38</v>
      </c>
      <c r="B62" s="111"/>
      <c r="C62" s="111"/>
      <c r="D62" s="111"/>
    </row>
    <row r="64" spans="1:4" x14ac:dyDescent="0.2">
      <c r="A64" s="30" t="s">
        <v>39</v>
      </c>
      <c r="B64" s="110" t="s">
        <v>40</v>
      </c>
      <c r="C64" s="110"/>
      <c r="D64" s="30" t="s">
        <v>3</v>
      </c>
    </row>
    <row r="65" spans="1:5" x14ac:dyDescent="0.2">
      <c r="A65" s="32" t="s">
        <v>4</v>
      </c>
      <c r="B65" s="100" t="s">
        <v>41</v>
      </c>
      <c r="C65" s="100"/>
      <c r="D65" s="13">
        <f>IF((22*2*5.6)-(D28*0.06)&gt;0,(22*2*5.6)-(D28*0.06),0)</f>
        <v>154.59999999999997</v>
      </c>
    </row>
    <row r="66" spans="1:5" x14ac:dyDescent="0.2">
      <c r="A66" s="32" t="s">
        <v>6</v>
      </c>
      <c r="B66" s="100" t="s">
        <v>42</v>
      </c>
      <c r="C66" s="100"/>
      <c r="D66" s="13">
        <f>20*0.8*22</f>
        <v>352</v>
      </c>
    </row>
    <row r="67" spans="1:5" x14ac:dyDescent="0.2">
      <c r="A67" s="32" t="s">
        <v>8</v>
      </c>
      <c r="B67" s="100" t="s">
        <v>103</v>
      </c>
      <c r="C67" s="100"/>
      <c r="D67" s="13">
        <v>280</v>
      </c>
    </row>
    <row r="68" spans="1:5" x14ac:dyDescent="0.2">
      <c r="A68" s="32" t="s">
        <v>10</v>
      </c>
      <c r="B68" s="100" t="s">
        <v>104</v>
      </c>
      <c r="C68" s="100"/>
      <c r="D68" s="13">
        <v>23</v>
      </c>
    </row>
    <row r="69" spans="1:5" x14ac:dyDescent="0.2">
      <c r="A69" s="32" t="s">
        <v>12</v>
      </c>
      <c r="B69" s="100" t="s">
        <v>105</v>
      </c>
      <c r="C69" s="100"/>
      <c r="D69" s="13">
        <v>4.8</v>
      </c>
    </row>
    <row r="70" spans="1:5" x14ac:dyDescent="0.2">
      <c r="A70" s="99" t="s">
        <v>16</v>
      </c>
      <c r="B70" s="99"/>
      <c r="C70" s="99"/>
      <c r="D70" s="19">
        <f>SUM(D65:D69)</f>
        <v>814.39999999999986</v>
      </c>
    </row>
    <row r="71" spans="1:5" x14ac:dyDescent="0.2">
      <c r="E71" s="18"/>
    </row>
    <row r="73" spans="1:5" x14ac:dyDescent="0.2">
      <c r="A73" s="111" t="s">
        <v>43</v>
      </c>
      <c r="B73" s="111"/>
      <c r="C73" s="111"/>
      <c r="D73" s="111"/>
      <c r="E73" s="17"/>
    </row>
    <row r="74" spans="1:5" ht="12.75" customHeight="1" x14ac:dyDescent="0.2">
      <c r="E74" s="18"/>
    </row>
    <row r="75" spans="1:5" x14ac:dyDescent="0.2">
      <c r="A75" s="30">
        <v>2</v>
      </c>
      <c r="B75" s="110" t="s">
        <v>44</v>
      </c>
      <c r="C75" s="110"/>
      <c r="D75" s="30" t="s">
        <v>3</v>
      </c>
    </row>
    <row r="76" spans="1:5" x14ac:dyDescent="0.2">
      <c r="A76" s="32" t="s">
        <v>19</v>
      </c>
      <c r="B76" s="100" t="s">
        <v>20</v>
      </c>
      <c r="C76" s="100"/>
      <c r="D76" s="14">
        <f>D45</f>
        <v>356.44</v>
      </c>
    </row>
    <row r="77" spans="1:5" x14ac:dyDescent="0.2">
      <c r="A77" s="32" t="s">
        <v>24</v>
      </c>
      <c r="B77" s="100" t="s">
        <v>25</v>
      </c>
      <c r="C77" s="100"/>
      <c r="D77" s="14">
        <f>D59</f>
        <v>805.92000000000007</v>
      </c>
    </row>
    <row r="78" spans="1:5" x14ac:dyDescent="0.2">
      <c r="A78" s="32" t="s">
        <v>39</v>
      </c>
      <c r="B78" s="100" t="s">
        <v>40</v>
      </c>
      <c r="C78" s="100"/>
      <c r="D78" s="14">
        <f>D70</f>
        <v>814.39999999999986</v>
      </c>
    </row>
    <row r="79" spans="1:5" x14ac:dyDescent="0.2">
      <c r="A79" s="99" t="s">
        <v>16</v>
      </c>
      <c r="B79" s="99"/>
      <c r="C79" s="99"/>
      <c r="D79" s="19">
        <f>SUM(D76:D78)</f>
        <v>1976.76</v>
      </c>
    </row>
    <row r="80" spans="1:5" x14ac:dyDescent="0.2">
      <c r="A80" s="4"/>
    </row>
    <row r="82" spans="1:4" x14ac:dyDescent="0.2">
      <c r="A82" s="104" t="s">
        <v>45</v>
      </c>
      <c r="B82" s="104"/>
      <c r="C82" s="104"/>
      <c r="D82" s="104"/>
    </row>
    <row r="84" spans="1:4" x14ac:dyDescent="0.2">
      <c r="A84" s="30">
        <v>3</v>
      </c>
      <c r="B84" s="110" t="s">
        <v>46</v>
      </c>
      <c r="C84" s="110"/>
      <c r="D84" s="30" t="s">
        <v>3</v>
      </c>
    </row>
    <row r="85" spans="1:4" x14ac:dyDescent="0.2">
      <c r="A85" s="32" t="s">
        <v>4</v>
      </c>
      <c r="B85" s="10" t="s">
        <v>47</v>
      </c>
      <c r="C85" s="9">
        <f>TRUNC(((1/12)*5%),4)</f>
        <v>4.1000000000000003E-3</v>
      </c>
      <c r="D85" s="13">
        <f>TRUNC($D$35*C85,2)</f>
        <v>7.51</v>
      </c>
    </row>
    <row r="86" spans="1:4" x14ac:dyDescent="0.2">
      <c r="A86" s="32" t="s">
        <v>6</v>
      </c>
      <c r="B86" s="10" t="s">
        <v>48</v>
      </c>
      <c r="C86" s="9">
        <v>0.08</v>
      </c>
      <c r="D86" s="13">
        <f>TRUNC(D85*C86,2)</f>
        <v>0.6</v>
      </c>
    </row>
    <row r="87" spans="1:4" x14ac:dyDescent="0.2">
      <c r="A87" s="32" t="s">
        <v>8</v>
      </c>
      <c r="B87" s="10" t="s">
        <v>98</v>
      </c>
      <c r="C87" s="9">
        <f>TRUNC(8%*5%*40%,4)</f>
        <v>1.6000000000000001E-3</v>
      </c>
      <c r="D87" s="13">
        <f>TRUNC($D$35*C87,2)</f>
        <v>2.93</v>
      </c>
    </row>
    <row r="88" spans="1:4" x14ac:dyDescent="0.2">
      <c r="A88" s="32" t="s">
        <v>10</v>
      </c>
      <c r="B88" s="10" t="s">
        <v>49</v>
      </c>
      <c r="C88" s="9">
        <f>TRUNC(((7/30)/12)*95%,4)</f>
        <v>1.84E-2</v>
      </c>
      <c r="D88" s="13">
        <f>TRUNC($D$35*C88,2)</f>
        <v>33.729999999999997</v>
      </c>
    </row>
    <row r="89" spans="1:4" ht="25.5" x14ac:dyDescent="0.2">
      <c r="A89" s="32" t="s">
        <v>12</v>
      </c>
      <c r="B89" s="10" t="s">
        <v>93</v>
      </c>
      <c r="C89" s="9">
        <f>C59</f>
        <v>0.36800000000000005</v>
      </c>
      <c r="D89" s="13">
        <f>TRUNC(D88*C89,2)</f>
        <v>12.41</v>
      </c>
    </row>
    <row r="90" spans="1:4" x14ac:dyDescent="0.2">
      <c r="A90" s="32" t="s">
        <v>32</v>
      </c>
      <c r="B90" s="10" t="s">
        <v>99</v>
      </c>
      <c r="C90" s="9">
        <f>TRUNC(8%*95%*40%,4)</f>
        <v>3.04E-2</v>
      </c>
      <c r="D90" s="13">
        <f t="shared" ref="D90" si="1">TRUNC($D$35*C90,2)</f>
        <v>55.74</v>
      </c>
    </row>
    <row r="91" spans="1:4" x14ac:dyDescent="0.2">
      <c r="A91" s="108" t="s">
        <v>16</v>
      </c>
      <c r="B91" s="109"/>
      <c r="C91" s="112"/>
      <c r="D91" s="19">
        <f>SUM(D85:D90)</f>
        <v>112.91999999999999</v>
      </c>
    </row>
    <row r="94" spans="1:4" x14ac:dyDescent="0.2">
      <c r="A94" s="104" t="s">
        <v>50</v>
      </c>
      <c r="B94" s="104"/>
      <c r="C94" s="104"/>
      <c r="D94" s="104"/>
    </row>
    <row r="97" spans="1:6" x14ac:dyDescent="0.2">
      <c r="A97" s="111" t="s">
        <v>77</v>
      </c>
      <c r="B97" s="111"/>
      <c r="C97" s="111"/>
      <c r="D97" s="111"/>
      <c r="E97" s="17"/>
      <c r="F97" s="17"/>
    </row>
    <row r="98" spans="1:6" x14ac:dyDescent="0.2">
      <c r="A98" s="3"/>
    </row>
    <row r="99" spans="1:6" x14ac:dyDescent="0.2">
      <c r="A99" s="30" t="s">
        <v>51</v>
      </c>
      <c r="B99" s="110" t="s">
        <v>78</v>
      </c>
      <c r="C99" s="110"/>
      <c r="D99" s="30" t="s">
        <v>3</v>
      </c>
    </row>
    <row r="100" spans="1:6" x14ac:dyDescent="0.2">
      <c r="A100" s="32" t="s">
        <v>4</v>
      </c>
      <c r="B100" s="29" t="s">
        <v>79</v>
      </c>
      <c r="C100" s="9">
        <f>TRUNC(((1+1/3)/12)/12,4)</f>
        <v>9.1999999999999998E-3</v>
      </c>
      <c r="D100" s="13">
        <f>TRUNC(($D$35+$D$79+$D$91)*C100,2)</f>
        <v>36.090000000000003</v>
      </c>
    </row>
    <row r="101" spans="1:6" x14ac:dyDescent="0.2">
      <c r="A101" s="32" t="s">
        <v>6</v>
      </c>
      <c r="B101" s="29" t="s">
        <v>80</v>
      </c>
      <c r="C101" s="9">
        <f>TRUNC(((2/30)/12),4)</f>
        <v>5.4999999999999997E-3</v>
      </c>
      <c r="D101" s="13">
        <f t="shared" ref="D101:D105" si="2">TRUNC(($D$35+$D$79+$D$91)*C101,2)</f>
        <v>21.57</v>
      </c>
    </row>
    <row r="102" spans="1:6" x14ac:dyDescent="0.2">
      <c r="A102" s="32" t="s">
        <v>8</v>
      </c>
      <c r="B102" s="29" t="s">
        <v>81</v>
      </c>
      <c r="C102" s="9">
        <f>TRUNC(((5/30)/12)*2%,4)</f>
        <v>2.0000000000000001E-4</v>
      </c>
      <c r="D102" s="13">
        <f t="shared" si="2"/>
        <v>0.78</v>
      </c>
    </row>
    <row r="103" spans="1:6" x14ac:dyDescent="0.2">
      <c r="A103" s="32" t="s">
        <v>10</v>
      </c>
      <c r="B103" s="29" t="s">
        <v>82</v>
      </c>
      <c r="C103" s="9">
        <f>TRUNC(((15/30)/12)*8%,4)</f>
        <v>3.3E-3</v>
      </c>
      <c r="D103" s="13">
        <f t="shared" si="2"/>
        <v>12.94</v>
      </c>
    </row>
    <row r="104" spans="1:6" x14ac:dyDescent="0.2">
      <c r="A104" s="32" t="s">
        <v>12</v>
      </c>
      <c r="B104" s="29" t="s">
        <v>83</v>
      </c>
      <c r="C104" s="9">
        <f>((1+1/3)/12)*3%*(4/12)</f>
        <v>1.1111111111111109E-3</v>
      </c>
      <c r="D104" s="13">
        <f t="shared" si="2"/>
        <v>4.3499999999999996</v>
      </c>
    </row>
    <row r="105" spans="1:6" x14ac:dyDescent="0.2">
      <c r="A105" s="32" t="s">
        <v>32</v>
      </c>
      <c r="B105" s="29" t="s">
        <v>84</v>
      </c>
      <c r="C105" s="9"/>
      <c r="D105" s="13">
        <f t="shared" si="2"/>
        <v>0</v>
      </c>
    </row>
    <row r="106" spans="1:6" x14ac:dyDescent="0.2">
      <c r="A106" s="99" t="s">
        <v>37</v>
      </c>
      <c r="B106" s="99"/>
      <c r="C106" s="99"/>
      <c r="D106" s="19">
        <f>SUM(D100:D105)</f>
        <v>75.73</v>
      </c>
    </row>
    <row r="109" spans="1:6" x14ac:dyDescent="0.2">
      <c r="A109" s="111" t="s">
        <v>85</v>
      </c>
      <c r="B109" s="111"/>
      <c r="C109" s="111"/>
      <c r="D109" s="111"/>
    </row>
    <row r="110" spans="1:6" x14ac:dyDescent="0.2">
      <c r="A110" s="3"/>
    </row>
    <row r="111" spans="1:6" x14ac:dyDescent="0.2">
      <c r="A111" s="30" t="s">
        <v>52</v>
      </c>
      <c r="B111" s="110" t="s">
        <v>86</v>
      </c>
      <c r="C111" s="110"/>
      <c r="D111" s="30" t="s">
        <v>3</v>
      </c>
    </row>
    <row r="112" spans="1:6" x14ac:dyDescent="0.2">
      <c r="A112" s="32" t="s">
        <v>4</v>
      </c>
      <c r="B112" s="105" t="s">
        <v>87</v>
      </c>
      <c r="C112" s="106"/>
      <c r="D112" s="13">
        <f>((D35+D79+D91)/220)*22*0</f>
        <v>0</v>
      </c>
    </row>
    <row r="113" spans="1:4" x14ac:dyDescent="0.2">
      <c r="A113" s="99" t="s">
        <v>16</v>
      </c>
      <c r="B113" s="99"/>
      <c r="C113" s="99"/>
      <c r="D113" s="19">
        <f>SUM(D112)</f>
        <v>0</v>
      </c>
    </row>
    <row r="116" spans="1:4" x14ac:dyDescent="0.2">
      <c r="A116" s="111" t="s">
        <v>53</v>
      </c>
      <c r="B116" s="111"/>
      <c r="C116" s="111"/>
      <c r="D116" s="111"/>
    </row>
    <row r="117" spans="1:4" x14ac:dyDescent="0.2">
      <c r="A117" s="3"/>
    </row>
    <row r="118" spans="1:4" x14ac:dyDescent="0.2">
      <c r="A118" s="30">
        <v>4</v>
      </c>
      <c r="B118" s="99" t="s">
        <v>54</v>
      </c>
      <c r="C118" s="99"/>
      <c r="D118" s="30" t="s">
        <v>3</v>
      </c>
    </row>
    <row r="119" spans="1:4" x14ac:dyDescent="0.2">
      <c r="A119" s="32" t="s">
        <v>51</v>
      </c>
      <c r="B119" s="100" t="s">
        <v>78</v>
      </c>
      <c r="C119" s="100"/>
      <c r="D119" s="14">
        <f>D106</f>
        <v>75.73</v>
      </c>
    </row>
    <row r="120" spans="1:4" x14ac:dyDescent="0.2">
      <c r="A120" s="32" t="s">
        <v>52</v>
      </c>
      <c r="B120" s="100" t="s">
        <v>86</v>
      </c>
      <c r="C120" s="100"/>
      <c r="D120" s="14">
        <f>D113</f>
        <v>0</v>
      </c>
    </row>
    <row r="121" spans="1:4" x14ac:dyDescent="0.2">
      <c r="A121" s="99" t="s">
        <v>16</v>
      </c>
      <c r="B121" s="99"/>
      <c r="C121" s="99"/>
      <c r="D121" s="19">
        <f>SUM(D119:D120)</f>
        <v>75.73</v>
      </c>
    </row>
    <row r="124" spans="1:4" x14ac:dyDescent="0.2">
      <c r="A124" s="104" t="s">
        <v>55</v>
      </c>
      <c r="B124" s="104"/>
      <c r="C124" s="104"/>
      <c r="D124" s="104"/>
    </row>
    <row r="126" spans="1:4" x14ac:dyDescent="0.2">
      <c r="A126" s="30">
        <v>5</v>
      </c>
      <c r="B126" s="107" t="s">
        <v>56</v>
      </c>
      <c r="C126" s="107"/>
      <c r="D126" s="30" t="s">
        <v>3</v>
      </c>
    </row>
    <row r="127" spans="1:4" x14ac:dyDescent="0.2">
      <c r="A127" s="32" t="s">
        <v>4</v>
      </c>
      <c r="B127" s="29" t="s">
        <v>57</v>
      </c>
      <c r="C127" s="29"/>
      <c r="D127" s="13">
        <v>7.94</v>
      </c>
    </row>
    <row r="128" spans="1:4" x14ac:dyDescent="0.2">
      <c r="A128" s="32" t="s">
        <v>6</v>
      </c>
      <c r="B128" s="29" t="s">
        <v>58</v>
      </c>
      <c r="C128" s="29"/>
      <c r="D128" s="13">
        <v>0</v>
      </c>
    </row>
    <row r="129" spans="1:4" x14ac:dyDescent="0.2">
      <c r="A129" s="32" t="s">
        <v>8</v>
      </c>
      <c r="B129" s="29" t="s">
        <v>59</v>
      </c>
      <c r="C129" s="29"/>
      <c r="D129" s="13">
        <v>3.53</v>
      </c>
    </row>
    <row r="130" spans="1:4" x14ac:dyDescent="0.2">
      <c r="A130" s="32" t="s">
        <v>10</v>
      </c>
      <c r="B130" s="29" t="s">
        <v>106</v>
      </c>
      <c r="C130" s="29"/>
      <c r="D130" s="13">
        <v>0</v>
      </c>
    </row>
    <row r="131" spans="1:4" x14ac:dyDescent="0.2">
      <c r="A131" s="89" t="s">
        <v>12</v>
      </c>
      <c r="B131" s="88" t="s">
        <v>268</v>
      </c>
      <c r="C131" s="88"/>
      <c r="D131" s="13">
        <v>0.28000000000000003</v>
      </c>
    </row>
    <row r="132" spans="1:4" x14ac:dyDescent="0.2">
      <c r="A132" s="99" t="s">
        <v>37</v>
      </c>
      <c r="B132" s="99"/>
      <c r="C132" s="99"/>
      <c r="D132" s="20">
        <f>SUM(D127:D131)</f>
        <v>11.75</v>
      </c>
    </row>
    <row r="135" spans="1:4" x14ac:dyDescent="0.2">
      <c r="A135" s="104" t="s">
        <v>60</v>
      </c>
      <c r="B135" s="104"/>
      <c r="C135" s="104"/>
      <c r="D135" s="104"/>
    </row>
    <row r="137" spans="1:4" x14ac:dyDescent="0.2">
      <c r="A137" s="30">
        <v>6</v>
      </c>
      <c r="B137" s="31" t="s">
        <v>61</v>
      </c>
      <c r="C137" s="30" t="s">
        <v>26</v>
      </c>
      <c r="D137" s="30" t="s">
        <v>3</v>
      </c>
    </row>
    <row r="138" spans="1:4" x14ac:dyDescent="0.2">
      <c r="A138" s="32" t="s">
        <v>4</v>
      </c>
      <c r="B138" s="29" t="s">
        <v>62</v>
      </c>
      <c r="C138" s="9">
        <v>0.05</v>
      </c>
      <c r="D138" s="14">
        <f>D158*C138</f>
        <v>200.53800000000001</v>
      </c>
    </row>
    <row r="139" spans="1:4" x14ac:dyDescent="0.2">
      <c r="A139" s="32" t="s">
        <v>6</v>
      </c>
      <c r="B139" s="29" t="s">
        <v>63</v>
      </c>
      <c r="C139" s="9">
        <v>0.06</v>
      </c>
      <c r="D139" s="13">
        <f>(D158+D138)*C139</f>
        <v>252.67787999999999</v>
      </c>
    </row>
    <row r="140" spans="1:4" x14ac:dyDescent="0.2">
      <c r="A140" s="32" t="s">
        <v>8</v>
      </c>
      <c r="B140" s="29" t="s">
        <v>64</v>
      </c>
      <c r="C140" s="12">
        <f>SUM(C141:C146)</f>
        <v>8.6499999999999994E-2</v>
      </c>
      <c r="D140" s="13">
        <f>(D158+D138+D139)*C140/(1-C140)</f>
        <v>422.69722344827585</v>
      </c>
    </row>
    <row r="141" spans="1:4" x14ac:dyDescent="0.2">
      <c r="A141" s="32"/>
      <c r="B141" s="29" t="s">
        <v>65</v>
      </c>
      <c r="C141" s="9"/>
      <c r="D141" s="14">
        <f>$D$160*C141</f>
        <v>0</v>
      </c>
    </row>
    <row r="142" spans="1:4" x14ac:dyDescent="0.2">
      <c r="A142" s="32"/>
      <c r="B142" s="29" t="s">
        <v>95</v>
      </c>
      <c r="C142" s="9">
        <v>6.4999999999999997E-3</v>
      </c>
      <c r="D142" s="14">
        <f t="shared" ref="D142:D146" si="3">$D$160*C142</f>
        <v>31.763355000000001</v>
      </c>
    </row>
    <row r="143" spans="1:4" x14ac:dyDescent="0.2">
      <c r="A143" s="32"/>
      <c r="B143" s="29" t="s">
        <v>96</v>
      </c>
      <c r="C143" s="9">
        <v>0.03</v>
      </c>
      <c r="D143" s="14">
        <f t="shared" si="3"/>
        <v>146.6001</v>
      </c>
    </row>
    <row r="144" spans="1:4" x14ac:dyDescent="0.2">
      <c r="A144" s="32"/>
      <c r="B144" s="29" t="s">
        <v>66</v>
      </c>
      <c r="C144" s="32"/>
      <c r="D144" s="14">
        <f t="shared" si="3"/>
        <v>0</v>
      </c>
    </row>
    <row r="145" spans="1:4" x14ac:dyDescent="0.2">
      <c r="A145" s="32"/>
      <c r="B145" s="29" t="s">
        <v>67</v>
      </c>
      <c r="C145" s="9"/>
      <c r="D145" s="14">
        <f t="shared" si="3"/>
        <v>0</v>
      </c>
    </row>
    <row r="146" spans="1:4" x14ac:dyDescent="0.2">
      <c r="A146" s="32"/>
      <c r="B146" s="29" t="s">
        <v>97</v>
      </c>
      <c r="C146" s="9">
        <v>0.05</v>
      </c>
      <c r="D146" s="14">
        <f t="shared" si="3"/>
        <v>244.33350000000002</v>
      </c>
    </row>
    <row r="147" spans="1:4" ht="13.5" x14ac:dyDescent="0.2">
      <c r="A147" s="108" t="s">
        <v>37</v>
      </c>
      <c r="B147" s="109"/>
      <c r="C147" s="21">
        <f>(1+C139)*(1+C138)/(1-C140)-1</f>
        <v>0.21839080459770144</v>
      </c>
      <c r="D147" s="19">
        <f>SUM(D138:D140)</f>
        <v>875.91310344827582</v>
      </c>
    </row>
    <row r="150" spans="1:4" x14ac:dyDescent="0.2">
      <c r="A150" s="104" t="s">
        <v>68</v>
      </c>
      <c r="B150" s="104"/>
      <c r="C150" s="104"/>
      <c r="D150" s="104"/>
    </row>
    <row r="152" spans="1:4" x14ac:dyDescent="0.2">
      <c r="A152" s="30"/>
      <c r="B152" s="99" t="s">
        <v>69</v>
      </c>
      <c r="C152" s="99"/>
      <c r="D152" s="30" t="s">
        <v>3</v>
      </c>
    </row>
    <row r="153" spans="1:4" x14ac:dyDescent="0.2">
      <c r="A153" s="30" t="s">
        <v>4</v>
      </c>
      <c r="B153" s="100" t="s">
        <v>1</v>
      </c>
      <c r="C153" s="100"/>
      <c r="D153" s="22">
        <f>D35</f>
        <v>1833.6</v>
      </c>
    </row>
    <row r="154" spans="1:4" x14ac:dyDescent="0.2">
      <c r="A154" s="30" t="s">
        <v>6</v>
      </c>
      <c r="B154" s="100" t="s">
        <v>17</v>
      </c>
      <c r="C154" s="100"/>
      <c r="D154" s="22">
        <f>D79</f>
        <v>1976.76</v>
      </c>
    </row>
    <row r="155" spans="1:4" x14ac:dyDescent="0.2">
      <c r="A155" s="30" t="s">
        <v>8</v>
      </c>
      <c r="B155" s="100" t="s">
        <v>45</v>
      </c>
      <c r="C155" s="100"/>
      <c r="D155" s="22">
        <f>D91</f>
        <v>112.91999999999999</v>
      </c>
    </row>
    <row r="156" spans="1:4" x14ac:dyDescent="0.2">
      <c r="A156" s="30" t="s">
        <v>10</v>
      </c>
      <c r="B156" s="100" t="s">
        <v>50</v>
      </c>
      <c r="C156" s="100"/>
      <c r="D156" s="22">
        <f>D121</f>
        <v>75.73</v>
      </c>
    </row>
    <row r="157" spans="1:4" x14ac:dyDescent="0.2">
      <c r="A157" s="30" t="s">
        <v>12</v>
      </c>
      <c r="B157" s="100" t="s">
        <v>55</v>
      </c>
      <c r="C157" s="100"/>
      <c r="D157" s="22">
        <f>D132</f>
        <v>11.75</v>
      </c>
    </row>
    <row r="158" spans="1:4" x14ac:dyDescent="0.2">
      <c r="A158" s="99" t="s">
        <v>94</v>
      </c>
      <c r="B158" s="99"/>
      <c r="C158" s="99"/>
      <c r="D158" s="23">
        <f>SUM(D153:D157)</f>
        <v>4010.7599999999998</v>
      </c>
    </row>
    <row r="159" spans="1:4" x14ac:dyDescent="0.2">
      <c r="A159" s="30" t="s">
        <v>32</v>
      </c>
      <c r="B159" s="100" t="s">
        <v>70</v>
      </c>
      <c r="C159" s="100"/>
      <c r="D159" s="24">
        <f>D147</f>
        <v>875.91310344827582</v>
      </c>
    </row>
    <row r="160" spans="1:4" x14ac:dyDescent="0.2">
      <c r="A160" s="99" t="s">
        <v>71</v>
      </c>
      <c r="B160" s="99"/>
      <c r="C160" s="99"/>
      <c r="D160" s="23">
        <f>ROUND(SUM(D158:D159),2)</f>
        <v>4886.67</v>
      </c>
    </row>
  </sheetData>
  <mergeCells count="75">
    <mergeCell ref="B156:C156"/>
    <mergeCell ref="B157:C157"/>
    <mergeCell ref="A158:C158"/>
    <mergeCell ref="B159:C159"/>
    <mergeCell ref="A160:C160"/>
    <mergeCell ref="B155:C155"/>
    <mergeCell ref="B120:C120"/>
    <mergeCell ref="A121:C121"/>
    <mergeCell ref="A124:D124"/>
    <mergeCell ref="B126:C126"/>
    <mergeCell ref="A132:C132"/>
    <mergeCell ref="A135:D135"/>
    <mergeCell ref="A147:B147"/>
    <mergeCell ref="A150:D150"/>
    <mergeCell ref="B152:C152"/>
    <mergeCell ref="B153:C153"/>
    <mergeCell ref="B154:C154"/>
    <mergeCell ref="B119:C119"/>
    <mergeCell ref="A91:C91"/>
    <mergeCell ref="A94:D94"/>
    <mergeCell ref="A97:D97"/>
    <mergeCell ref="B99:C99"/>
    <mergeCell ref="A106:C106"/>
    <mergeCell ref="A109:D109"/>
    <mergeCell ref="B111:C111"/>
    <mergeCell ref="B112:C112"/>
    <mergeCell ref="A113:C113"/>
    <mergeCell ref="A116:D116"/>
    <mergeCell ref="B118:C118"/>
    <mergeCell ref="B84:C84"/>
    <mergeCell ref="B67:C67"/>
    <mergeCell ref="B68:C68"/>
    <mergeCell ref="B69:C69"/>
    <mergeCell ref="A70:C70"/>
    <mergeCell ref="A73:D73"/>
    <mergeCell ref="B75:C75"/>
    <mergeCell ref="B76:C76"/>
    <mergeCell ref="B77:C77"/>
    <mergeCell ref="B78:C78"/>
    <mergeCell ref="A79:C79"/>
    <mergeCell ref="A82:D82"/>
    <mergeCell ref="B66:C66"/>
    <mergeCell ref="B34:C34"/>
    <mergeCell ref="A35:C35"/>
    <mergeCell ref="A38:D38"/>
    <mergeCell ref="A40:D40"/>
    <mergeCell ref="B42:C42"/>
    <mergeCell ref="A45:B45"/>
    <mergeCell ref="A48:D48"/>
    <mergeCell ref="A59:B59"/>
    <mergeCell ref="A62:D62"/>
    <mergeCell ref="B64:C64"/>
    <mergeCell ref="B65:C65"/>
    <mergeCell ref="B33:C33"/>
    <mergeCell ref="C20:D20"/>
    <mergeCell ref="C21:D21"/>
    <mergeCell ref="C22:D22"/>
    <mergeCell ref="C23:D23"/>
    <mergeCell ref="A25:D25"/>
    <mergeCell ref="B27:C27"/>
    <mergeCell ref="B28:C28"/>
    <mergeCell ref="B29:C29"/>
    <mergeCell ref="B30:C30"/>
    <mergeCell ref="B31:C31"/>
    <mergeCell ref="B32:C32"/>
    <mergeCell ref="C19:D19"/>
    <mergeCell ref="A1:D1"/>
    <mergeCell ref="A12:D12"/>
    <mergeCell ref="A14:B14"/>
    <mergeCell ref="A15:B15"/>
    <mergeCell ref="A17:D17"/>
    <mergeCell ref="A3:D3"/>
    <mergeCell ref="A5:D5"/>
    <mergeCell ref="B9:C9"/>
    <mergeCell ref="B10:C10"/>
  </mergeCells>
  <pageMargins left="0.51181102362204722" right="0.51181102362204722" top="0.78740157480314965" bottom="0.78740157480314965" header="0.31496062992125984" footer="0.31496062992125984"/>
  <pageSetup paperSize="9" scale="84" fitToHeight="0" orientation="portrait" r:id="rId1"/>
  <headerFooter>
    <oddHeader>&amp;C&amp;G</oddHead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60"/>
  <sheetViews>
    <sheetView zoomScale="115" zoomScaleNormal="115" workbookViewId="0">
      <selection activeCell="D132" sqref="D132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113" t="s">
        <v>0</v>
      </c>
      <c r="B1" s="113"/>
      <c r="C1" s="113"/>
      <c r="D1" s="113"/>
    </row>
    <row r="2" spans="1:4" ht="15.75" x14ac:dyDescent="0.25">
      <c r="A2" s="26"/>
      <c r="B2" s="26"/>
      <c r="C2" s="26"/>
      <c r="D2" s="26"/>
    </row>
    <row r="3" spans="1:4" x14ac:dyDescent="0.2">
      <c r="A3" s="90" t="s">
        <v>255</v>
      </c>
      <c r="B3" s="90"/>
      <c r="C3" s="90"/>
      <c r="D3" s="90"/>
    </row>
    <row r="4" spans="1:4" x14ac:dyDescent="0.2">
      <c r="A4" s="2"/>
      <c r="B4" s="2"/>
      <c r="C4" s="2"/>
      <c r="D4" s="2"/>
    </row>
    <row r="5" spans="1:4" x14ac:dyDescent="0.2">
      <c r="A5" s="91" t="s">
        <v>256</v>
      </c>
      <c r="B5" s="92"/>
      <c r="C5" s="92"/>
      <c r="D5" s="93"/>
    </row>
    <row r="6" spans="1:4" x14ac:dyDescent="0.2">
      <c r="A6" s="83" t="s">
        <v>4</v>
      </c>
      <c r="B6" s="84" t="s">
        <v>257</v>
      </c>
      <c r="C6" s="85"/>
      <c r="D6" s="86" t="s">
        <v>262</v>
      </c>
    </row>
    <row r="7" spans="1:4" x14ac:dyDescent="0.2">
      <c r="A7" s="83" t="s">
        <v>6</v>
      </c>
      <c r="B7" s="84" t="s">
        <v>258</v>
      </c>
      <c r="C7" s="85"/>
      <c r="D7" s="86" t="s">
        <v>263</v>
      </c>
    </row>
    <row r="8" spans="1:4" x14ac:dyDescent="0.2">
      <c r="A8" s="83" t="s">
        <v>8</v>
      </c>
      <c r="B8" s="84" t="s">
        <v>259</v>
      </c>
      <c r="C8" s="85"/>
      <c r="D8" s="87">
        <v>45785</v>
      </c>
    </row>
    <row r="9" spans="1:4" x14ac:dyDescent="0.2">
      <c r="A9" s="83" t="s">
        <v>10</v>
      </c>
      <c r="B9" s="94" t="s">
        <v>264</v>
      </c>
      <c r="C9" s="95"/>
      <c r="D9" s="86" t="s">
        <v>260</v>
      </c>
    </row>
    <row r="10" spans="1:4" x14ac:dyDescent="0.2">
      <c r="A10" s="83" t="s">
        <v>12</v>
      </c>
      <c r="B10" s="94" t="s">
        <v>265</v>
      </c>
      <c r="C10" s="95"/>
      <c r="D10" s="86" t="s">
        <v>261</v>
      </c>
    </row>
    <row r="12" spans="1:4" x14ac:dyDescent="0.2">
      <c r="A12" s="103" t="s">
        <v>88</v>
      </c>
      <c r="B12" s="103"/>
      <c r="C12" s="103"/>
      <c r="D12" s="103"/>
    </row>
    <row r="13" spans="1:4" x14ac:dyDescent="0.2">
      <c r="A13" s="2"/>
      <c r="B13" s="2"/>
      <c r="C13" s="2"/>
      <c r="D13" s="2"/>
    </row>
    <row r="14" spans="1:4" ht="38.25" x14ac:dyDescent="0.2">
      <c r="A14" s="115" t="s">
        <v>89</v>
      </c>
      <c r="B14" s="115"/>
      <c r="C14" s="32" t="s">
        <v>90</v>
      </c>
      <c r="D14" s="27" t="s">
        <v>91</v>
      </c>
    </row>
    <row r="15" spans="1:4" x14ac:dyDescent="0.2">
      <c r="A15" s="96" t="s">
        <v>185</v>
      </c>
      <c r="B15" s="96"/>
      <c r="C15" s="33" t="s">
        <v>101</v>
      </c>
      <c r="D15" s="33">
        <v>2</v>
      </c>
    </row>
    <row r="17" spans="1:4" x14ac:dyDescent="0.2">
      <c r="A17" s="103" t="s">
        <v>72</v>
      </c>
      <c r="B17" s="103"/>
      <c r="C17" s="103"/>
      <c r="D17" s="103"/>
    </row>
    <row r="18" spans="1:4" x14ac:dyDescent="0.2">
      <c r="A18" s="2"/>
      <c r="B18" s="2"/>
      <c r="C18" s="2"/>
      <c r="D18" s="2"/>
    </row>
    <row r="19" spans="1:4" x14ac:dyDescent="0.2">
      <c r="A19" s="5">
        <v>1</v>
      </c>
      <c r="B19" s="5" t="s">
        <v>73</v>
      </c>
      <c r="C19" s="97" t="s">
        <v>117</v>
      </c>
      <c r="D19" s="98"/>
    </row>
    <row r="20" spans="1:4" x14ac:dyDescent="0.2">
      <c r="A20" s="5">
        <v>2</v>
      </c>
      <c r="B20" s="5" t="s">
        <v>92</v>
      </c>
      <c r="C20" s="97" t="s">
        <v>118</v>
      </c>
      <c r="D20" s="98"/>
    </row>
    <row r="21" spans="1:4" x14ac:dyDescent="0.2">
      <c r="A21" s="5">
        <v>3</v>
      </c>
      <c r="B21" s="5" t="s">
        <v>74</v>
      </c>
      <c r="C21" s="101">
        <v>1530</v>
      </c>
      <c r="D21" s="102"/>
    </row>
    <row r="22" spans="1:4" x14ac:dyDescent="0.2">
      <c r="A22" s="5">
        <v>4</v>
      </c>
      <c r="B22" s="5" t="s">
        <v>75</v>
      </c>
      <c r="C22" s="97"/>
      <c r="D22" s="98"/>
    </row>
    <row r="23" spans="1:4" x14ac:dyDescent="0.2">
      <c r="A23" s="5">
        <v>5</v>
      </c>
      <c r="B23" s="5" t="s">
        <v>76</v>
      </c>
      <c r="C23" s="97"/>
      <c r="D23" s="98"/>
    </row>
    <row r="25" spans="1:4" x14ac:dyDescent="0.2">
      <c r="A25" s="103" t="s">
        <v>1</v>
      </c>
      <c r="B25" s="103"/>
      <c r="C25" s="103"/>
      <c r="D25" s="103"/>
    </row>
    <row r="27" spans="1:4" x14ac:dyDescent="0.2">
      <c r="A27" s="30">
        <v>1</v>
      </c>
      <c r="B27" s="99" t="s">
        <v>2</v>
      </c>
      <c r="C27" s="99"/>
      <c r="D27" s="30" t="s">
        <v>3</v>
      </c>
    </row>
    <row r="28" spans="1:4" x14ac:dyDescent="0.2">
      <c r="A28" s="32" t="s">
        <v>4</v>
      </c>
      <c r="B28" s="100" t="s">
        <v>5</v>
      </c>
      <c r="C28" s="100"/>
      <c r="D28" s="13">
        <v>1530</v>
      </c>
    </row>
    <row r="29" spans="1:4" x14ac:dyDescent="0.2">
      <c r="A29" s="32" t="s">
        <v>6</v>
      </c>
      <c r="B29" s="100" t="s">
        <v>7</v>
      </c>
      <c r="C29" s="100"/>
      <c r="D29" s="13"/>
    </row>
    <row r="30" spans="1:4" x14ac:dyDescent="0.2">
      <c r="A30" s="32" t="s">
        <v>8</v>
      </c>
      <c r="B30" s="100" t="s">
        <v>9</v>
      </c>
      <c r="C30" s="100"/>
      <c r="D30" s="13">
        <f>1518*0.4</f>
        <v>607.20000000000005</v>
      </c>
    </row>
    <row r="31" spans="1:4" x14ac:dyDescent="0.2">
      <c r="A31" s="32" t="s">
        <v>10</v>
      </c>
      <c r="B31" s="100" t="s">
        <v>11</v>
      </c>
      <c r="C31" s="100"/>
      <c r="D31" s="13"/>
    </row>
    <row r="32" spans="1:4" x14ac:dyDescent="0.2">
      <c r="A32" s="32" t="s">
        <v>12</v>
      </c>
      <c r="B32" s="100" t="s">
        <v>13</v>
      </c>
      <c r="C32" s="100"/>
      <c r="D32" s="13"/>
    </row>
    <row r="33" spans="1:4" x14ac:dyDescent="0.2">
      <c r="A33" s="32"/>
      <c r="B33" s="100"/>
      <c r="C33" s="100"/>
      <c r="D33" s="13"/>
    </row>
    <row r="34" spans="1:4" x14ac:dyDescent="0.2">
      <c r="A34" s="32" t="s">
        <v>14</v>
      </c>
      <c r="B34" s="100" t="s">
        <v>15</v>
      </c>
      <c r="C34" s="100"/>
      <c r="D34" s="13"/>
    </row>
    <row r="35" spans="1:4" x14ac:dyDescent="0.2">
      <c r="A35" s="99" t="s">
        <v>16</v>
      </c>
      <c r="B35" s="99"/>
      <c r="C35" s="99"/>
      <c r="D35" s="20">
        <f>SUM(D28:D34)</f>
        <v>2137.1999999999998</v>
      </c>
    </row>
    <row r="38" spans="1:4" x14ac:dyDescent="0.2">
      <c r="A38" s="104" t="s">
        <v>17</v>
      </c>
      <c r="B38" s="104"/>
      <c r="C38" s="104"/>
      <c r="D38" s="104"/>
    </row>
    <row r="39" spans="1:4" x14ac:dyDescent="0.2">
      <c r="A39" s="3"/>
    </row>
    <row r="40" spans="1:4" x14ac:dyDescent="0.2">
      <c r="A40" s="111" t="s">
        <v>18</v>
      </c>
      <c r="B40" s="111"/>
      <c r="C40" s="111"/>
      <c r="D40" s="111"/>
    </row>
    <row r="42" spans="1:4" x14ac:dyDescent="0.2">
      <c r="A42" s="30" t="s">
        <v>19</v>
      </c>
      <c r="B42" s="99" t="s">
        <v>20</v>
      </c>
      <c r="C42" s="99"/>
      <c r="D42" s="30" t="s">
        <v>3</v>
      </c>
    </row>
    <row r="43" spans="1:4" x14ac:dyDescent="0.2">
      <c r="A43" s="32" t="s">
        <v>4</v>
      </c>
      <c r="B43" s="29" t="s">
        <v>21</v>
      </c>
      <c r="C43" s="12">
        <f>TRUNC(1/12,4)</f>
        <v>8.3299999999999999E-2</v>
      </c>
      <c r="D43" s="13">
        <f>TRUNC($D$35*C43,2)</f>
        <v>178.02</v>
      </c>
    </row>
    <row r="44" spans="1:4" x14ac:dyDescent="0.2">
      <c r="A44" s="32" t="s">
        <v>6</v>
      </c>
      <c r="B44" s="29" t="s">
        <v>22</v>
      </c>
      <c r="C44" s="12">
        <f>TRUNC(((1+1/3)/12),4)</f>
        <v>0.1111</v>
      </c>
      <c r="D44" s="13">
        <f>TRUNC($D$35*C44,2)</f>
        <v>237.44</v>
      </c>
    </row>
    <row r="45" spans="1:4" x14ac:dyDescent="0.2">
      <c r="A45" s="99" t="s">
        <v>16</v>
      </c>
      <c r="B45" s="99"/>
      <c r="C45" s="28">
        <f>SUM(C43:C44)</f>
        <v>0.19440000000000002</v>
      </c>
      <c r="D45" s="19">
        <f>SUM(D43:D44)</f>
        <v>415.46000000000004</v>
      </c>
    </row>
    <row r="48" spans="1:4" x14ac:dyDescent="0.2">
      <c r="A48" s="114" t="s">
        <v>23</v>
      </c>
      <c r="B48" s="114"/>
      <c r="C48" s="114"/>
      <c r="D48" s="114"/>
    </row>
    <row r="50" spans="1:4" x14ac:dyDescent="0.2">
      <c r="A50" s="30" t="s">
        <v>24</v>
      </c>
      <c r="B50" s="30" t="s">
        <v>25</v>
      </c>
      <c r="C50" s="30" t="s">
        <v>26</v>
      </c>
      <c r="D50" s="30" t="s">
        <v>3</v>
      </c>
    </row>
    <row r="51" spans="1:4" x14ac:dyDescent="0.2">
      <c r="A51" s="32" t="s">
        <v>4</v>
      </c>
      <c r="B51" s="29" t="s">
        <v>27</v>
      </c>
      <c r="C51" s="9">
        <v>0.2</v>
      </c>
      <c r="D51" s="13">
        <f>TRUNC(($D$35+$D$45)*C51,2)</f>
        <v>510.53</v>
      </c>
    </row>
    <row r="52" spans="1:4" x14ac:dyDescent="0.2">
      <c r="A52" s="32" t="s">
        <v>6</v>
      </c>
      <c r="B52" s="29" t="s">
        <v>28</v>
      </c>
      <c r="C52" s="9">
        <v>2.5000000000000001E-2</v>
      </c>
      <c r="D52" s="13">
        <f t="shared" ref="D52:D58" si="0">TRUNC(($D$35+$D$45)*C52,2)</f>
        <v>63.81</v>
      </c>
    </row>
    <row r="53" spans="1:4" x14ac:dyDescent="0.2">
      <c r="A53" s="32" t="s">
        <v>8</v>
      </c>
      <c r="B53" s="29" t="s">
        <v>29</v>
      </c>
      <c r="C53" s="16">
        <v>0.03</v>
      </c>
      <c r="D53" s="13">
        <f t="shared" si="0"/>
        <v>76.569999999999993</v>
      </c>
    </row>
    <row r="54" spans="1:4" x14ac:dyDescent="0.2">
      <c r="A54" s="32" t="s">
        <v>10</v>
      </c>
      <c r="B54" s="29" t="s">
        <v>30</v>
      </c>
      <c r="C54" s="9">
        <v>1.4999999999999999E-2</v>
      </c>
      <c r="D54" s="13">
        <f t="shared" si="0"/>
        <v>38.28</v>
      </c>
    </row>
    <row r="55" spans="1:4" x14ac:dyDescent="0.2">
      <c r="A55" s="32" t="s">
        <v>12</v>
      </c>
      <c r="B55" s="29" t="s">
        <v>31</v>
      </c>
      <c r="C55" s="9">
        <v>0.01</v>
      </c>
      <c r="D55" s="13">
        <f t="shared" si="0"/>
        <v>25.52</v>
      </c>
    </row>
    <row r="56" spans="1:4" x14ac:dyDescent="0.2">
      <c r="A56" s="32" t="s">
        <v>32</v>
      </c>
      <c r="B56" s="29" t="s">
        <v>33</v>
      </c>
      <c r="C56" s="9">
        <v>6.0000000000000001E-3</v>
      </c>
      <c r="D56" s="13">
        <f t="shared" si="0"/>
        <v>15.31</v>
      </c>
    </row>
    <row r="57" spans="1:4" x14ac:dyDescent="0.2">
      <c r="A57" s="32" t="s">
        <v>14</v>
      </c>
      <c r="B57" s="29" t="s">
        <v>34</v>
      </c>
      <c r="C57" s="9">
        <v>2E-3</v>
      </c>
      <c r="D57" s="13">
        <f t="shared" si="0"/>
        <v>5.0999999999999996</v>
      </c>
    </row>
    <row r="58" spans="1:4" x14ac:dyDescent="0.2">
      <c r="A58" s="32" t="s">
        <v>35</v>
      </c>
      <c r="B58" s="29" t="s">
        <v>36</v>
      </c>
      <c r="C58" s="9">
        <v>0.08</v>
      </c>
      <c r="D58" s="13">
        <f t="shared" si="0"/>
        <v>204.21</v>
      </c>
    </row>
    <row r="59" spans="1:4" x14ac:dyDescent="0.2">
      <c r="A59" s="99" t="s">
        <v>37</v>
      </c>
      <c r="B59" s="99"/>
      <c r="C59" s="15">
        <f>SUM(C51:C58)</f>
        <v>0.36800000000000005</v>
      </c>
      <c r="D59" s="19">
        <f>SUM(D51:D58)</f>
        <v>939.32999999999981</v>
      </c>
    </row>
    <row r="62" spans="1:4" x14ac:dyDescent="0.2">
      <c r="A62" s="111" t="s">
        <v>38</v>
      </c>
      <c r="B62" s="111"/>
      <c r="C62" s="111"/>
      <c r="D62" s="111"/>
    </row>
    <row r="64" spans="1:4" x14ac:dyDescent="0.2">
      <c r="A64" s="30" t="s">
        <v>39</v>
      </c>
      <c r="B64" s="110" t="s">
        <v>40</v>
      </c>
      <c r="C64" s="110"/>
      <c r="D64" s="30" t="s">
        <v>3</v>
      </c>
    </row>
    <row r="65" spans="1:5" x14ac:dyDescent="0.2">
      <c r="A65" s="32" t="s">
        <v>4</v>
      </c>
      <c r="B65" s="100" t="s">
        <v>41</v>
      </c>
      <c r="C65" s="100"/>
      <c r="D65" s="13">
        <f>IF((22*2*5.6)-(D28*0.06)&gt;0,(22*2*5.6)-(D28*0.06),0)</f>
        <v>154.59999999999997</v>
      </c>
    </row>
    <row r="66" spans="1:5" x14ac:dyDescent="0.2">
      <c r="A66" s="32" t="s">
        <v>6</v>
      </c>
      <c r="B66" s="100" t="s">
        <v>42</v>
      </c>
      <c r="C66" s="100"/>
      <c r="D66" s="13">
        <f>20*0.8*22</f>
        <v>352</v>
      </c>
    </row>
    <row r="67" spans="1:5" x14ac:dyDescent="0.2">
      <c r="A67" s="32" t="s">
        <v>8</v>
      </c>
      <c r="B67" s="100" t="s">
        <v>103</v>
      </c>
      <c r="C67" s="100"/>
      <c r="D67" s="13">
        <v>280</v>
      </c>
    </row>
    <row r="68" spans="1:5" x14ac:dyDescent="0.2">
      <c r="A68" s="32" t="s">
        <v>10</v>
      </c>
      <c r="B68" s="100" t="s">
        <v>104</v>
      </c>
      <c r="C68" s="100"/>
      <c r="D68" s="13">
        <v>23</v>
      </c>
    </row>
    <row r="69" spans="1:5" x14ac:dyDescent="0.2">
      <c r="A69" s="32" t="s">
        <v>12</v>
      </c>
      <c r="B69" s="100" t="s">
        <v>105</v>
      </c>
      <c r="C69" s="100"/>
      <c r="D69" s="13">
        <v>4.8</v>
      </c>
    </row>
    <row r="70" spans="1:5" x14ac:dyDescent="0.2">
      <c r="A70" s="99" t="s">
        <v>16</v>
      </c>
      <c r="B70" s="99"/>
      <c r="C70" s="99"/>
      <c r="D70" s="19">
        <f>SUM(D65:D69)</f>
        <v>814.39999999999986</v>
      </c>
    </row>
    <row r="71" spans="1:5" x14ac:dyDescent="0.2">
      <c r="E71" s="18"/>
    </row>
    <row r="73" spans="1:5" x14ac:dyDescent="0.2">
      <c r="A73" s="111" t="s">
        <v>43</v>
      </c>
      <c r="B73" s="111"/>
      <c r="C73" s="111"/>
      <c r="D73" s="111"/>
      <c r="E73" s="17"/>
    </row>
    <row r="74" spans="1:5" ht="12.75" customHeight="1" x14ac:dyDescent="0.2">
      <c r="E74" s="18"/>
    </row>
    <row r="75" spans="1:5" x14ac:dyDescent="0.2">
      <c r="A75" s="30">
        <v>2</v>
      </c>
      <c r="B75" s="110" t="s">
        <v>44</v>
      </c>
      <c r="C75" s="110"/>
      <c r="D75" s="30" t="s">
        <v>3</v>
      </c>
    </row>
    <row r="76" spans="1:5" x14ac:dyDescent="0.2">
      <c r="A76" s="32" t="s">
        <v>19</v>
      </c>
      <c r="B76" s="100" t="s">
        <v>20</v>
      </c>
      <c r="C76" s="100"/>
      <c r="D76" s="14">
        <f>D45</f>
        <v>415.46000000000004</v>
      </c>
    </row>
    <row r="77" spans="1:5" x14ac:dyDescent="0.2">
      <c r="A77" s="32" t="s">
        <v>24</v>
      </c>
      <c r="B77" s="100" t="s">
        <v>25</v>
      </c>
      <c r="C77" s="100"/>
      <c r="D77" s="14">
        <f>D59</f>
        <v>939.32999999999981</v>
      </c>
    </row>
    <row r="78" spans="1:5" x14ac:dyDescent="0.2">
      <c r="A78" s="32" t="s">
        <v>39</v>
      </c>
      <c r="B78" s="100" t="s">
        <v>40</v>
      </c>
      <c r="C78" s="100"/>
      <c r="D78" s="14">
        <f>D70</f>
        <v>814.39999999999986</v>
      </c>
    </row>
    <row r="79" spans="1:5" x14ac:dyDescent="0.2">
      <c r="A79" s="99" t="s">
        <v>16</v>
      </c>
      <c r="B79" s="99"/>
      <c r="C79" s="99"/>
      <c r="D79" s="19">
        <f>SUM(D76:D78)</f>
        <v>2169.1899999999996</v>
      </c>
    </row>
    <row r="80" spans="1:5" x14ac:dyDescent="0.2">
      <c r="A80" s="4"/>
    </row>
    <row r="82" spans="1:4" x14ac:dyDescent="0.2">
      <c r="A82" s="104" t="s">
        <v>45</v>
      </c>
      <c r="B82" s="104"/>
      <c r="C82" s="104"/>
      <c r="D82" s="104"/>
    </row>
    <row r="84" spans="1:4" x14ac:dyDescent="0.2">
      <c r="A84" s="30">
        <v>3</v>
      </c>
      <c r="B84" s="110" t="s">
        <v>46</v>
      </c>
      <c r="C84" s="110"/>
      <c r="D84" s="30" t="s">
        <v>3</v>
      </c>
    </row>
    <row r="85" spans="1:4" x14ac:dyDescent="0.2">
      <c r="A85" s="32" t="s">
        <v>4</v>
      </c>
      <c r="B85" s="10" t="s">
        <v>47</v>
      </c>
      <c r="C85" s="9">
        <f>TRUNC(((1/12)*5%),4)</f>
        <v>4.1000000000000003E-3</v>
      </c>
      <c r="D85" s="13">
        <f>TRUNC($D$35*C85,2)</f>
        <v>8.76</v>
      </c>
    </row>
    <row r="86" spans="1:4" x14ac:dyDescent="0.2">
      <c r="A86" s="32" t="s">
        <v>6</v>
      </c>
      <c r="B86" s="10" t="s">
        <v>48</v>
      </c>
      <c r="C86" s="9">
        <v>0.08</v>
      </c>
      <c r="D86" s="13">
        <f>TRUNC(D85*C86,2)</f>
        <v>0.7</v>
      </c>
    </row>
    <row r="87" spans="1:4" x14ac:dyDescent="0.2">
      <c r="A87" s="32" t="s">
        <v>8</v>
      </c>
      <c r="B87" s="10" t="s">
        <v>98</v>
      </c>
      <c r="C87" s="9">
        <f>TRUNC(8%*5%*40%,4)</f>
        <v>1.6000000000000001E-3</v>
      </c>
      <c r="D87" s="13">
        <f>TRUNC($D$35*C87,2)</f>
        <v>3.41</v>
      </c>
    </row>
    <row r="88" spans="1:4" x14ac:dyDescent="0.2">
      <c r="A88" s="32" t="s">
        <v>10</v>
      </c>
      <c r="B88" s="10" t="s">
        <v>49</v>
      </c>
      <c r="C88" s="9">
        <f>TRUNC(((7/30)/12)*95%,4)</f>
        <v>1.84E-2</v>
      </c>
      <c r="D88" s="13">
        <f>TRUNC($D$35*C88,2)</f>
        <v>39.32</v>
      </c>
    </row>
    <row r="89" spans="1:4" ht="25.5" x14ac:dyDescent="0.2">
      <c r="A89" s="32" t="s">
        <v>12</v>
      </c>
      <c r="B89" s="10" t="s">
        <v>93</v>
      </c>
      <c r="C89" s="9">
        <f>C59</f>
        <v>0.36800000000000005</v>
      </c>
      <c r="D89" s="13">
        <f>TRUNC(D88*C89,2)</f>
        <v>14.46</v>
      </c>
    </row>
    <row r="90" spans="1:4" x14ac:dyDescent="0.2">
      <c r="A90" s="32" t="s">
        <v>32</v>
      </c>
      <c r="B90" s="10" t="s">
        <v>99</v>
      </c>
      <c r="C90" s="9">
        <f>TRUNC(8%*95%*40%,4)</f>
        <v>3.04E-2</v>
      </c>
      <c r="D90" s="13">
        <f t="shared" ref="D90" si="1">TRUNC($D$35*C90,2)</f>
        <v>64.97</v>
      </c>
    </row>
    <row r="91" spans="1:4" x14ac:dyDescent="0.2">
      <c r="A91" s="108" t="s">
        <v>16</v>
      </c>
      <c r="B91" s="109"/>
      <c r="C91" s="112"/>
      <c r="D91" s="19">
        <f>SUM(D85:D90)</f>
        <v>131.62</v>
      </c>
    </row>
    <row r="94" spans="1:4" x14ac:dyDescent="0.2">
      <c r="A94" s="104" t="s">
        <v>50</v>
      </c>
      <c r="B94" s="104"/>
      <c r="C94" s="104"/>
      <c r="D94" s="104"/>
    </row>
    <row r="97" spans="1:6" x14ac:dyDescent="0.2">
      <c r="A97" s="111" t="s">
        <v>77</v>
      </c>
      <c r="B97" s="111"/>
      <c r="C97" s="111"/>
      <c r="D97" s="111"/>
      <c r="E97" s="17"/>
      <c r="F97" s="17"/>
    </row>
    <row r="98" spans="1:6" x14ac:dyDescent="0.2">
      <c r="A98" s="3"/>
    </row>
    <row r="99" spans="1:6" x14ac:dyDescent="0.2">
      <c r="A99" s="30" t="s">
        <v>51</v>
      </c>
      <c r="B99" s="110" t="s">
        <v>78</v>
      </c>
      <c r="C99" s="110"/>
      <c r="D99" s="30" t="s">
        <v>3</v>
      </c>
    </row>
    <row r="100" spans="1:6" x14ac:dyDescent="0.2">
      <c r="A100" s="32" t="s">
        <v>4</v>
      </c>
      <c r="B100" s="29" t="s">
        <v>79</v>
      </c>
      <c r="C100" s="9">
        <f>TRUNC(((1+1/3)/12)/12,4)</f>
        <v>9.1999999999999998E-3</v>
      </c>
      <c r="D100" s="13">
        <f>TRUNC(($D$35+$D$79+$D$91)*C100,2)</f>
        <v>40.82</v>
      </c>
    </row>
    <row r="101" spans="1:6" x14ac:dyDescent="0.2">
      <c r="A101" s="32" t="s">
        <v>6</v>
      </c>
      <c r="B101" s="29" t="s">
        <v>80</v>
      </c>
      <c r="C101" s="9">
        <f>TRUNC(((2/30)/12),4)</f>
        <v>5.4999999999999997E-3</v>
      </c>
      <c r="D101" s="13">
        <f t="shared" ref="D101:D105" si="2">TRUNC(($D$35+$D$79+$D$91)*C101,2)</f>
        <v>24.4</v>
      </c>
    </row>
    <row r="102" spans="1:6" x14ac:dyDescent="0.2">
      <c r="A102" s="32" t="s">
        <v>8</v>
      </c>
      <c r="B102" s="29" t="s">
        <v>81</v>
      </c>
      <c r="C102" s="9">
        <f>TRUNC(((5/30)/12)*2%,4)</f>
        <v>2.0000000000000001E-4</v>
      </c>
      <c r="D102" s="13">
        <f t="shared" si="2"/>
        <v>0.88</v>
      </c>
    </row>
    <row r="103" spans="1:6" x14ac:dyDescent="0.2">
      <c r="A103" s="32" t="s">
        <v>10</v>
      </c>
      <c r="B103" s="29" t="s">
        <v>82</v>
      </c>
      <c r="C103" s="9">
        <f>TRUNC(((15/30)/12)*8%,4)</f>
        <v>3.3E-3</v>
      </c>
      <c r="D103" s="13">
        <f t="shared" si="2"/>
        <v>14.64</v>
      </c>
    </row>
    <row r="104" spans="1:6" x14ac:dyDescent="0.2">
      <c r="A104" s="32" t="s">
        <v>12</v>
      </c>
      <c r="B104" s="29" t="s">
        <v>83</v>
      </c>
      <c r="C104" s="9">
        <f>((1+1/3)/12)*3%*(4/12)</f>
        <v>1.1111111111111109E-3</v>
      </c>
      <c r="D104" s="13">
        <f t="shared" si="2"/>
        <v>4.93</v>
      </c>
    </row>
    <row r="105" spans="1:6" x14ac:dyDescent="0.2">
      <c r="A105" s="32" t="s">
        <v>32</v>
      </c>
      <c r="B105" s="29" t="s">
        <v>84</v>
      </c>
      <c r="C105" s="9"/>
      <c r="D105" s="13">
        <f t="shared" si="2"/>
        <v>0</v>
      </c>
    </row>
    <row r="106" spans="1:6" x14ac:dyDescent="0.2">
      <c r="A106" s="99" t="s">
        <v>37</v>
      </c>
      <c r="B106" s="99"/>
      <c r="C106" s="99"/>
      <c r="D106" s="19">
        <f>SUM(D100:D105)</f>
        <v>85.669999999999987</v>
      </c>
    </row>
    <row r="109" spans="1:6" x14ac:dyDescent="0.2">
      <c r="A109" s="111" t="s">
        <v>85</v>
      </c>
      <c r="B109" s="111"/>
      <c r="C109" s="111"/>
      <c r="D109" s="111"/>
    </row>
    <row r="110" spans="1:6" x14ac:dyDescent="0.2">
      <c r="A110" s="3"/>
    </row>
    <row r="111" spans="1:6" x14ac:dyDescent="0.2">
      <c r="A111" s="30" t="s">
        <v>52</v>
      </c>
      <c r="B111" s="110" t="s">
        <v>86</v>
      </c>
      <c r="C111" s="110"/>
      <c r="D111" s="30" t="s">
        <v>3</v>
      </c>
    </row>
    <row r="112" spans="1:6" x14ac:dyDescent="0.2">
      <c r="A112" s="32" t="s">
        <v>4</v>
      </c>
      <c r="B112" s="105" t="s">
        <v>87</v>
      </c>
      <c r="C112" s="106"/>
      <c r="D112" s="13">
        <f>((D35+D79+D91)/220)*22*0</f>
        <v>0</v>
      </c>
    </row>
    <row r="113" spans="1:4" x14ac:dyDescent="0.2">
      <c r="A113" s="99" t="s">
        <v>16</v>
      </c>
      <c r="B113" s="99"/>
      <c r="C113" s="99"/>
      <c r="D113" s="19">
        <f>SUM(D112)</f>
        <v>0</v>
      </c>
    </row>
    <row r="116" spans="1:4" x14ac:dyDescent="0.2">
      <c r="A116" s="111" t="s">
        <v>53</v>
      </c>
      <c r="B116" s="111"/>
      <c r="C116" s="111"/>
      <c r="D116" s="111"/>
    </row>
    <row r="117" spans="1:4" x14ac:dyDescent="0.2">
      <c r="A117" s="3"/>
    </row>
    <row r="118" spans="1:4" x14ac:dyDescent="0.2">
      <c r="A118" s="30">
        <v>4</v>
      </c>
      <c r="B118" s="99" t="s">
        <v>54</v>
      </c>
      <c r="C118" s="99"/>
      <c r="D118" s="30" t="s">
        <v>3</v>
      </c>
    </row>
    <row r="119" spans="1:4" x14ac:dyDescent="0.2">
      <c r="A119" s="32" t="s">
        <v>51</v>
      </c>
      <c r="B119" s="100" t="s">
        <v>78</v>
      </c>
      <c r="C119" s="100"/>
      <c r="D119" s="14">
        <f>D106</f>
        <v>85.669999999999987</v>
      </c>
    </row>
    <row r="120" spans="1:4" x14ac:dyDescent="0.2">
      <c r="A120" s="32" t="s">
        <v>52</v>
      </c>
      <c r="B120" s="100" t="s">
        <v>86</v>
      </c>
      <c r="C120" s="100"/>
      <c r="D120" s="14">
        <f>D113</f>
        <v>0</v>
      </c>
    </row>
    <row r="121" spans="1:4" x14ac:dyDescent="0.2">
      <c r="A121" s="99" t="s">
        <v>16</v>
      </c>
      <c r="B121" s="99"/>
      <c r="C121" s="99"/>
      <c r="D121" s="19">
        <f>SUM(D119:D120)</f>
        <v>85.669999999999987</v>
      </c>
    </row>
    <row r="124" spans="1:4" x14ac:dyDescent="0.2">
      <c r="A124" s="104" t="s">
        <v>55</v>
      </c>
      <c r="B124" s="104"/>
      <c r="C124" s="104"/>
      <c r="D124" s="104"/>
    </row>
    <row r="126" spans="1:4" x14ac:dyDescent="0.2">
      <c r="A126" s="30">
        <v>5</v>
      </c>
      <c r="B126" s="107" t="s">
        <v>56</v>
      </c>
      <c r="C126" s="107"/>
      <c r="D126" s="30" t="s">
        <v>3</v>
      </c>
    </row>
    <row r="127" spans="1:4" x14ac:dyDescent="0.2">
      <c r="A127" s="32" t="s">
        <v>4</v>
      </c>
      <c r="B127" s="29" t="s">
        <v>57</v>
      </c>
      <c r="C127" s="29"/>
      <c r="D127" s="13">
        <v>7.94</v>
      </c>
    </row>
    <row r="128" spans="1:4" x14ac:dyDescent="0.2">
      <c r="A128" s="32" t="s">
        <v>6</v>
      </c>
      <c r="B128" s="29" t="s">
        <v>58</v>
      </c>
      <c r="C128" s="29"/>
      <c r="D128" s="13">
        <v>0</v>
      </c>
    </row>
    <row r="129" spans="1:4" x14ac:dyDescent="0.2">
      <c r="A129" s="32" t="s">
        <v>8</v>
      </c>
      <c r="B129" s="29" t="s">
        <v>59</v>
      </c>
      <c r="C129" s="29"/>
      <c r="D129" s="13">
        <v>3.53</v>
      </c>
    </row>
    <row r="130" spans="1:4" x14ac:dyDescent="0.2">
      <c r="A130" s="32" t="s">
        <v>10</v>
      </c>
      <c r="B130" s="29" t="s">
        <v>106</v>
      </c>
      <c r="C130" s="29"/>
      <c r="D130" s="13">
        <v>0</v>
      </c>
    </row>
    <row r="131" spans="1:4" x14ac:dyDescent="0.2">
      <c r="A131" s="89" t="s">
        <v>12</v>
      </c>
      <c r="B131" s="88" t="s">
        <v>268</v>
      </c>
      <c r="C131" s="88"/>
      <c r="D131" s="13">
        <v>0.28000000000000003</v>
      </c>
    </row>
    <row r="132" spans="1:4" x14ac:dyDescent="0.2">
      <c r="A132" s="99" t="s">
        <v>37</v>
      </c>
      <c r="B132" s="99"/>
      <c r="C132" s="99"/>
      <c r="D132" s="20">
        <f>SUM(D127:D131)</f>
        <v>11.75</v>
      </c>
    </row>
    <row r="135" spans="1:4" x14ac:dyDescent="0.2">
      <c r="A135" s="104" t="s">
        <v>60</v>
      </c>
      <c r="B135" s="104"/>
      <c r="C135" s="104"/>
      <c r="D135" s="104"/>
    </row>
    <row r="137" spans="1:4" x14ac:dyDescent="0.2">
      <c r="A137" s="30">
        <v>6</v>
      </c>
      <c r="B137" s="31" t="s">
        <v>61</v>
      </c>
      <c r="C137" s="30" t="s">
        <v>26</v>
      </c>
      <c r="D137" s="30" t="s">
        <v>3</v>
      </c>
    </row>
    <row r="138" spans="1:4" x14ac:dyDescent="0.2">
      <c r="A138" s="32" t="s">
        <v>4</v>
      </c>
      <c r="B138" s="29" t="s">
        <v>62</v>
      </c>
      <c r="C138" s="9">
        <v>0.05</v>
      </c>
      <c r="D138" s="14">
        <f>D158*C138</f>
        <v>226.77149999999997</v>
      </c>
    </row>
    <row r="139" spans="1:4" x14ac:dyDescent="0.2">
      <c r="A139" s="32" t="s">
        <v>6</v>
      </c>
      <c r="B139" s="29" t="s">
        <v>63</v>
      </c>
      <c r="C139" s="9">
        <v>0.06</v>
      </c>
      <c r="D139" s="13">
        <f>(D158+D138)*C139</f>
        <v>285.73208999999991</v>
      </c>
    </row>
    <row r="140" spans="1:4" x14ac:dyDescent="0.2">
      <c r="A140" s="32" t="s">
        <v>8</v>
      </c>
      <c r="B140" s="29" t="s">
        <v>64</v>
      </c>
      <c r="C140" s="12">
        <f>SUM(C141:C146)</f>
        <v>8.6499999999999994E-2</v>
      </c>
      <c r="D140" s="13">
        <f>(D158+D138+D139)*C140/(1-C140)</f>
        <v>477.99261689655157</v>
      </c>
    </row>
    <row r="141" spans="1:4" x14ac:dyDescent="0.2">
      <c r="A141" s="32"/>
      <c r="B141" s="29" t="s">
        <v>65</v>
      </c>
      <c r="C141" s="9"/>
      <c r="D141" s="14">
        <f>$D$160*C141</f>
        <v>0</v>
      </c>
    </row>
    <row r="142" spans="1:4" x14ac:dyDescent="0.2">
      <c r="A142" s="32"/>
      <c r="B142" s="29" t="s">
        <v>95</v>
      </c>
      <c r="C142" s="9">
        <v>6.4999999999999997E-3</v>
      </c>
      <c r="D142" s="14">
        <f t="shared" ref="D142:D146" si="3">$D$160*C142</f>
        <v>35.918545000000002</v>
      </c>
    </row>
    <row r="143" spans="1:4" x14ac:dyDescent="0.2">
      <c r="A143" s="32"/>
      <c r="B143" s="29" t="s">
        <v>96</v>
      </c>
      <c r="C143" s="9">
        <v>0.03</v>
      </c>
      <c r="D143" s="14">
        <f t="shared" si="3"/>
        <v>165.77790000000002</v>
      </c>
    </row>
    <row r="144" spans="1:4" x14ac:dyDescent="0.2">
      <c r="A144" s="32"/>
      <c r="B144" s="29" t="s">
        <v>66</v>
      </c>
      <c r="C144" s="32"/>
      <c r="D144" s="14">
        <f t="shared" si="3"/>
        <v>0</v>
      </c>
    </row>
    <row r="145" spans="1:4" x14ac:dyDescent="0.2">
      <c r="A145" s="32"/>
      <c r="B145" s="29" t="s">
        <v>67</v>
      </c>
      <c r="C145" s="9"/>
      <c r="D145" s="14">
        <f t="shared" si="3"/>
        <v>0</v>
      </c>
    </row>
    <row r="146" spans="1:4" x14ac:dyDescent="0.2">
      <c r="A146" s="32"/>
      <c r="B146" s="29" t="s">
        <v>97</v>
      </c>
      <c r="C146" s="9">
        <v>0.05</v>
      </c>
      <c r="D146" s="14">
        <f t="shared" si="3"/>
        <v>276.29650000000004</v>
      </c>
    </row>
    <row r="147" spans="1:4" ht="13.5" x14ac:dyDescent="0.2">
      <c r="A147" s="108" t="s">
        <v>37</v>
      </c>
      <c r="B147" s="109"/>
      <c r="C147" s="21">
        <f>(1+C139)*(1+C138)/(1-C140)-1</f>
        <v>0.21839080459770144</v>
      </c>
      <c r="D147" s="19">
        <f>SUM(D138:D140)</f>
        <v>990.49620689655148</v>
      </c>
    </row>
    <row r="150" spans="1:4" x14ac:dyDescent="0.2">
      <c r="A150" s="104" t="s">
        <v>68</v>
      </c>
      <c r="B150" s="104"/>
      <c r="C150" s="104"/>
      <c r="D150" s="104"/>
    </row>
    <row r="152" spans="1:4" x14ac:dyDescent="0.2">
      <c r="A152" s="30"/>
      <c r="B152" s="99" t="s">
        <v>69</v>
      </c>
      <c r="C152" s="99"/>
      <c r="D152" s="30" t="s">
        <v>3</v>
      </c>
    </row>
    <row r="153" spans="1:4" x14ac:dyDescent="0.2">
      <c r="A153" s="30" t="s">
        <v>4</v>
      </c>
      <c r="B153" s="100" t="s">
        <v>1</v>
      </c>
      <c r="C153" s="100"/>
      <c r="D153" s="22">
        <f>D35</f>
        <v>2137.1999999999998</v>
      </c>
    </row>
    <row r="154" spans="1:4" x14ac:dyDescent="0.2">
      <c r="A154" s="30" t="s">
        <v>6</v>
      </c>
      <c r="B154" s="100" t="s">
        <v>17</v>
      </c>
      <c r="C154" s="100"/>
      <c r="D154" s="22">
        <f>D79</f>
        <v>2169.1899999999996</v>
      </c>
    </row>
    <row r="155" spans="1:4" x14ac:dyDescent="0.2">
      <c r="A155" s="30" t="s">
        <v>8</v>
      </c>
      <c r="B155" s="100" t="s">
        <v>45</v>
      </c>
      <c r="C155" s="100"/>
      <c r="D155" s="22">
        <f>D91</f>
        <v>131.62</v>
      </c>
    </row>
    <row r="156" spans="1:4" x14ac:dyDescent="0.2">
      <c r="A156" s="30" t="s">
        <v>10</v>
      </c>
      <c r="B156" s="100" t="s">
        <v>50</v>
      </c>
      <c r="C156" s="100"/>
      <c r="D156" s="22">
        <f>D121</f>
        <v>85.669999999999987</v>
      </c>
    </row>
    <row r="157" spans="1:4" x14ac:dyDescent="0.2">
      <c r="A157" s="30" t="s">
        <v>12</v>
      </c>
      <c r="B157" s="100" t="s">
        <v>55</v>
      </c>
      <c r="C157" s="100"/>
      <c r="D157" s="22">
        <f>D132</f>
        <v>11.75</v>
      </c>
    </row>
    <row r="158" spans="1:4" x14ac:dyDescent="0.2">
      <c r="A158" s="99" t="s">
        <v>94</v>
      </c>
      <c r="B158" s="99"/>
      <c r="C158" s="99"/>
      <c r="D158" s="23">
        <f>SUM(D153:D157)</f>
        <v>4535.4299999999994</v>
      </c>
    </row>
    <row r="159" spans="1:4" x14ac:dyDescent="0.2">
      <c r="A159" s="30" t="s">
        <v>32</v>
      </c>
      <c r="B159" s="100" t="s">
        <v>70</v>
      </c>
      <c r="C159" s="100"/>
      <c r="D159" s="24">
        <f>D147</f>
        <v>990.49620689655148</v>
      </c>
    </row>
    <row r="160" spans="1:4" x14ac:dyDescent="0.2">
      <c r="A160" s="99" t="s">
        <v>71</v>
      </c>
      <c r="B160" s="99"/>
      <c r="C160" s="99"/>
      <c r="D160" s="23">
        <f>ROUND(SUM(D158:D159),2)</f>
        <v>5525.93</v>
      </c>
    </row>
  </sheetData>
  <mergeCells count="75">
    <mergeCell ref="B156:C156"/>
    <mergeCell ref="B157:C157"/>
    <mergeCell ref="A158:C158"/>
    <mergeCell ref="B159:C159"/>
    <mergeCell ref="A160:C160"/>
    <mergeCell ref="B155:C155"/>
    <mergeCell ref="B120:C120"/>
    <mergeCell ref="A121:C121"/>
    <mergeCell ref="A124:D124"/>
    <mergeCell ref="B126:C126"/>
    <mergeCell ref="A132:C132"/>
    <mergeCell ref="A135:D135"/>
    <mergeCell ref="A147:B147"/>
    <mergeCell ref="A150:D150"/>
    <mergeCell ref="B152:C152"/>
    <mergeCell ref="B153:C153"/>
    <mergeCell ref="B154:C154"/>
    <mergeCell ref="B119:C119"/>
    <mergeCell ref="A91:C91"/>
    <mergeCell ref="A94:D94"/>
    <mergeCell ref="A97:D97"/>
    <mergeCell ref="B99:C99"/>
    <mergeCell ref="A106:C106"/>
    <mergeCell ref="A109:D109"/>
    <mergeCell ref="B111:C111"/>
    <mergeCell ref="B112:C112"/>
    <mergeCell ref="A113:C113"/>
    <mergeCell ref="A116:D116"/>
    <mergeCell ref="B118:C118"/>
    <mergeCell ref="B84:C84"/>
    <mergeCell ref="B67:C67"/>
    <mergeCell ref="B68:C68"/>
    <mergeCell ref="B69:C69"/>
    <mergeCell ref="A70:C70"/>
    <mergeCell ref="A73:D73"/>
    <mergeCell ref="B75:C75"/>
    <mergeCell ref="B76:C76"/>
    <mergeCell ref="B77:C77"/>
    <mergeCell ref="B78:C78"/>
    <mergeCell ref="A79:C79"/>
    <mergeCell ref="A82:D82"/>
    <mergeCell ref="B66:C66"/>
    <mergeCell ref="B34:C34"/>
    <mergeCell ref="A35:C35"/>
    <mergeCell ref="A38:D38"/>
    <mergeCell ref="A40:D40"/>
    <mergeCell ref="B42:C42"/>
    <mergeCell ref="A45:B45"/>
    <mergeCell ref="A48:D48"/>
    <mergeCell ref="A59:B59"/>
    <mergeCell ref="A62:D62"/>
    <mergeCell ref="B64:C64"/>
    <mergeCell ref="B65:C65"/>
    <mergeCell ref="B33:C33"/>
    <mergeCell ref="C20:D20"/>
    <mergeCell ref="C21:D21"/>
    <mergeCell ref="C22:D22"/>
    <mergeCell ref="C23:D23"/>
    <mergeCell ref="A25:D25"/>
    <mergeCell ref="B27:C27"/>
    <mergeCell ref="B28:C28"/>
    <mergeCell ref="B29:C29"/>
    <mergeCell ref="B30:C30"/>
    <mergeCell ref="B31:C31"/>
    <mergeCell ref="B32:C32"/>
    <mergeCell ref="C19:D19"/>
    <mergeCell ref="A1:D1"/>
    <mergeCell ref="A12:D12"/>
    <mergeCell ref="A14:B14"/>
    <mergeCell ref="A15:B15"/>
    <mergeCell ref="A17:D17"/>
    <mergeCell ref="A3:D3"/>
    <mergeCell ref="A5:D5"/>
    <mergeCell ref="B9:C9"/>
    <mergeCell ref="B10:C10"/>
  </mergeCells>
  <pageMargins left="0.51181102362204722" right="0.51181102362204722" top="0.78740157480314965" bottom="0.78740157480314965" header="0.31496062992125984" footer="0.31496062992125984"/>
  <pageSetup paperSize="9" scale="84" fitToHeight="0" orientation="portrait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15</vt:i4>
      </vt:variant>
      <vt:variant>
        <vt:lpstr>Intervalos nomeados</vt:lpstr>
      </vt:variant>
      <vt:variant>
        <vt:i4>5</vt:i4>
      </vt:variant>
    </vt:vector>
  </HeadingPairs>
  <TitlesOfParts>
    <vt:vector size="20" baseType="lpstr">
      <vt:lpstr>auxjard</vt:lpstr>
      <vt:lpstr>cabotur</vt:lpstr>
      <vt:lpstr>coordadm</vt:lpstr>
      <vt:lpstr>coordope</vt:lpstr>
      <vt:lpstr>jardineiro</vt:lpstr>
      <vt:lpstr>lavadorveic</vt:lpstr>
      <vt:lpstr>limpavidro</vt:lpstr>
      <vt:lpstr>servente20</vt:lpstr>
      <vt:lpstr>servente40</vt:lpstr>
      <vt:lpstr>varredor</vt:lpstr>
      <vt:lpstr>servente20adic</vt:lpstr>
      <vt:lpstr>materanonaoele</vt:lpstr>
      <vt:lpstr>materanoele</vt:lpstr>
      <vt:lpstr>horaextra</vt:lpstr>
      <vt:lpstr>total</vt:lpstr>
      <vt:lpstr>materanoele!Area_de_impressao</vt:lpstr>
      <vt:lpstr>materanonaoele!Area_de_impressao</vt:lpstr>
      <vt:lpstr>horaextra!Titulos_de_impressao</vt:lpstr>
      <vt:lpstr>materanoele!Titulos_de_impressao</vt:lpstr>
      <vt:lpstr>materanonaoele!Titulos_de_impressao</vt:lpstr>
    </vt:vector>
  </TitlesOfParts>
  <Company>Justiça Eleitoral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Alcantara Santos</dc:creator>
  <cp:lastModifiedBy>Marconni Rodrigues de Alcantara Santos</cp:lastModifiedBy>
  <cp:lastPrinted>2025-09-03T15:21:41Z</cp:lastPrinted>
  <dcterms:created xsi:type="dcterms:W3CDTF">2019-01-29T18:54:26Z</dcterms:created>
  <dcterms:modified xsi:type="dcterms:W3CDTF">2025-09-03T17:05:08Z</dcterms:modified>
</cp:coreProperties>
</file>